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7025" windowHeight="906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<sst xmlns="http://schemas.openxmlformats.org/spreadsheetml/2006/main" count="280" uniqueCount="185">
  <si>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</si>
  <si>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</si>
  <si>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</si>
  <si>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</si>
  <si>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</si>
  <si>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</si>
  <si>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</si>
  <si>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</si>
  <si>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</si>
  <si>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</si>
  <si>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</si>
  <si>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</si>
  <si>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</si>
  <si>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</si>
  <si>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</si>
  <si>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</si>
  <si>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</si>
  <si>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</si>
  <si>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</si>
  <si>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</si>
  <si>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</si>
  <si>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</si>
  <si>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</si>
  <si>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</si>
  <si>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</si>
  <si>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</si>
  <si>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</si>
  <si>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</si>
  <si>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</si>
  <si>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</si>
  <si>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</si>
  <si>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</si>
  <si>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</si>
  <si>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</si>
  <si>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</si>
  <si>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</si>
  <si>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</si>
  <si>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</si>
  <si>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</si>
  <si>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</si>
  <si>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</si>
  <si>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</si>
  <si>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</si>
  <si>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</si>
  <si>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</si>
  <si>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</si>
  <si>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</si>
  <si>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</si>
  <si>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</si>
  <si>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</si>
  <si>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</si>
  <si>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</si>
  <si>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</si>
  <si>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</si>
  <si>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</si>
  <si>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</si>
  <si>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</si>
  <si>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</si>
  <si>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</si>
  <si>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</si>
  <si>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</si>
  <si>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</si>
  <si>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</si>
  <si>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</si>
  <si>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</si>
  <si>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</si>
  <si>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</si>
  <si>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</si>
  <si>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</si>
  <si>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</si>
  <si>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</si>
  <si>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</si>
  <si>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</si>
  <si>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</si>
  <si>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</si>
  <si>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</si>
  <si>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</si>
  <si>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</si>
  <si>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</si>
  <si>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</si>
  <si>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</si>
  <si>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</si>
  <si>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</si>
  <si>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</si>
  <si>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</si>
  <si>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</si>
  <si>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</si>
  <si>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</si>
  <si>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</si>
  <si>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</si>
  <si>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</si>
  <si>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</si>
  <si>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</si>
  <si>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</si>
  <si>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</si>
  <si>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</si>
  <si>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</si>
  <si>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</si>
  <si>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</si>
  <si>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</si>
  <si>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</si>
  <si>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</si>
  <si>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</si>
  <si>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</si>
  <si>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</si>
  <si>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</si>
  <si>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</si>
  <si>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</si>
  <si>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</si>
  <si>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</si>
  <si>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</si>
  <si>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</si>
  <si>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</si>
  <si>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</si>
  <si>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</si>
  <si>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</si>
  <si>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</si>
  <si>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</si>
  <si>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</si>
  <si>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</si>
  <si>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</si>
  <si>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</si>
  <si>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</si>
  <si>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</si>
  <si>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</si>
  <si>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</si>
  <si>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</si>
  <si>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</si>
  <si>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</si>
  <si>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</si>
  <si>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</si>
  <si>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</si>
  <si>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</si>
  <si>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</si>
  <si>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</si>
  <si>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</si>
  <si>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</si>
  <si>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</si>
  <si>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</si>
  <si>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</si>
  <si>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</si>
  <si>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</si>
  <si>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</si>
  <si>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</si>
  <si>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</si>
  <si>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</si>
  <si>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</si>
  <si>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</si>
  <si>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</si>
  <si>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</si>
  <si>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</si>
  <si>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</si>
  <si>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</si>
  <si>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прогестерона</t>
  </si>
  <si>
    <t>тестостерона</t>
  </si>
  <si>
    <t>кортизола</t>
  </si>
  <si>
    <t>R² = 1</t>
  </si>
  <si>
    <t>АФП - 1 МЕ/мл</t>
  </si>
  <si>
    <t>ЛГ - 0,3 мМЕ/мл</t>
  </si>
  <si>
    <t>ФСГ - 0,3 мМЕ/мл</t>
  </si>
  <si>
    <t>ХГч - 1 мМЕ/мл</t>
  </si>
  <si>
    <t>Пролактин - 10 мМЕ/л</t>
  </si>
  <si>
    <t>ПСА общий - 0,1 нг/мл</t>
  </si>
  <si>
    <t>ПСА свободный - 0,05 нг/мл</t>
  </si>
  <si>
    <t>СА 125 - 1 Ед/мл</t>
  </si>
  <si>
    <t>Кортизол - 5 нмоль/л</t>
  </si>
  <si>
    <t>Тестостерон - 0,2 нмоль/л</t>
  </si>
  <si>
    <t>Т3 общий – 0,2 нг/мл</t>
  </si>
  <si>
    <t>Т3 свободный – 0,3 пг/мл</t>
  </si>
  <si>
    <t>Т4 общий – 5 нмоль/л</t>
  </si>
  <si>
    <t>Т4 свободный – 1,0 пмоль/л</t>
  </si>
  <si>
    <t>Тиреоглобулин – 1,5 нг/мл</t>
  </si>
  <si>
    <t>Прогестерон – 0,5 нмоль/л</t>
  </si>
  <si>
    <t>Анти –ТГ – 5,0 МЕ/мл</t>
  </si>
  <si>
    <t>Анти ТПО – 2,0 МЕ/мл</t>
  </si>
  <si>
    <t>ТТГ - 0,05 мкМЕ/мл</t>
  </si>
  <si>
    <t>R² = 0.9982</t>
  </si>
  <si>
    <t>y = -0.0005x2 + 0.0907x - 0.2179</t>
  </si>
  <si>
    <t>R² = 0.9997</t>
  </si>
  <si>
    <t>y = -6E-06x3 + 0.0002x2 + 0.0715x - 0.133</t>
  </si>
  <si>
    <t>y = -3E-07x4 + 3E-05x3 - 0.0015x2 + 0.0943x - 0.183</t>
  </si>
  <si>
    <t>R² = 0.9933</t>
  </si>
  <si>
    <t>y = -0.0004x2 + 0.0799x</t>
  </si>
  <si>
    <t>R² = 0.9985</t>
  </si>
  <si>
    <t>y = -9E-06x3 + 0.0006x2 + 0.0569x</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</si>
</sst>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 numFmtId="181" formatCode="_-* #,##0.000_р_._-;\-* #,##0.000_р_._-;_-* &quot;-&quot;??_р_._-;_-@_-"/>
  </numFmts>
  <fonts count="60">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b/>
      <sz val="14"/>
      <name val="Times New Roman"/>
      <family val="1"/>
    </font>
    <font>
      <sz val="14"/>
      <name val="Times New Roman"/>
      <family val="1"/>
    </font>
    <font>
      <sz val="10"/>
      <color indexed="10"/>
      <name val="Arial Cyr"/>
      <family val="0"/>
    </font>
    <font>
      <b/>
      <sz val="10"/>
      <color indexed="9"/>
      <name val="Arial Cyr"/>
      <family val="0"/>
    </font>
    <font>
      <sz val="11"/>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5.75"/>
      <color indexed="8"/>
      <name val="Arial Cyr"/>
      <family val="0"/>
    </font>
    <font>
      <vertAlign val="superscript"/>
      <sz val="5.75"/>
      <color indexed="8"/>
      <name val="Arial Cyr"/>
      <family val="0"/>
    </font>
    <font>
      <sz val="5.5"/>
      <color indexed="8"/>
      <name val="Arial Cyr"/>
      <family val="0"/>
    </font>
    <font>
      <sz val="8"/>
      <color indexed="8"/>
      <name val="Arial Cyr"/>
      <family val="0"/>
    </font>
    <font>
      <vertAlign val="superscript"/>
      <sz val="8"/>
      <color indexed="8"/>
      <name val="Arial Cyr"/>
      <family val="0"/>
    </font>
    <font>
      <sz val="11"/>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1F497D"/>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1" xfId="0" applyBorder="1" applyAlignment="1">
      <alignment horizontal="center"/>
    </xf>
    <xf numFmtId="0" fontId="2" fillId="0" borderId="0"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49" fontId="0" fillId="0" borderId="0" xfId="0" applyNumberFormat="1" applyAlignment="1">
      <alignment/>
    </xf>
    <xf numFmtId="0" fontId="6" fillId="0" borderId="0" xfId="0" applyFont="1" applyAlignment="1">
      <alignment/>
    </xf>
    <xf numFmtId="0" fontId="6" fillId="0" borderId="0" xfId="0" applyFont="1" applyAlignment="1">
      <alignment horizontal="left" indent="1"/>
    </xf>
    <xf numFmtId="0" fontId="7" fillId="0" borderId="0" xfId="0" applyFont="1" applyAlignment="1">
      <alignment horizontal="left" indent="2"/>
    </xf>
    <xf numFmtId="0" fontId="6" fillId="0" borderId="0" xfId="0" applyFont="1" applyAlignment="1">
      <alignment horizontal="left" indent="2"/>
    </xf>
    <xf numFmtId="0" fontId="9" fillId="0" borderId="0" xfId="0" applyFont="1" applyAlignment="1">
      <alignment horizontal="center"/>
    </xf>
    <xf numFmtId="0" fontId="10"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center"/>
    </xf>
    <xf numFmtId="0" fontId="0" fillId="0" borderId="0" xfId="0" applyAlignment="1">
      <alignment wrapText="1"/>
    </xf>
    <xf numFmtId="0" fontId="2" fillId="0" borderId="0" xfId="0" applyFont="1" applyAlignment="1">
      <alignment wrapText="1"/>
    </xf>
    <xf numFmtId="179" fontId="0" fillId="0" borderId="10" xfId="0" applyNumberFormat="1" applyBorder="1" applyAlignment="1">
      <alignment horizontal="center"/>
    </xf>
    <xf numFmtId="0" fontId="11"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12" fillId="0" borderId="0" xfId="0" applyFont="1" applyAlignment="1">
      <alignment horizontal="center" wrapText="1"/>
    </xf>
    <xf numFmtId="0" fontId="6"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0" fillId="0" borderId="0" xfId="0" applyFont="1" applyAlignment="1">
      <alignment wrapText="1"/>
    </xf>
    <xf numFmtId="0" fontId="8" fillId="0" borderId="0" xfId="0" applyFont="1" applyAlignment="1">
      <alignment wrapText="1"/>
    </xf>
    <xf numFmtId="0" fontId="11" fillId="0" borderId="0" xfId="0" applyFont="1" applyAlignment="1">
      <alignment horizontal="left" indent="2"/>
    </xf>
    <xf numFmtId="0" fontId="0" fillId="0" borderId="11" xfId="0" applyBorder="1" applyAlignment="1">
      <alignment/>
    </xf>
    <xf numFmtId="0" fontId="0" fillId="0" borderId="14" xfId="0" applyBorder="1" applyAlignment="1">
      <alignment/>
    </xf>
    <xf numFmtId="0" fontId="2" fillId="0" borderId="14" xfId="0" applyFont="1" applyBorder="1" applyAlignment="1">
      <alignment horizontal="center"/>
    </xf>
    <xf numFmtId="0" fontId="1" fillId="0" borderId="0" xfId="0" applyFont="1" applyBorder="1" applyAlignment="1">
      <alignment wrapText="1"/>
    </xf>
    <xf numFmtId="0" fontId="0" fillId="34" borderId="0" xfId="0"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0"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13"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180" fontId="0" fillId="0" borderId="0" xfId="0" applyNumberFormat="1" applyBorder="1" applyAlignment="1">
      <alignment horizontal="center"/>
    </xf>
    <xf numFmtId="0" fontId="1" fillId="0" borderId="0" xfId="0" applyFont="1" applyBorder="1" applyAlignment="1">
      <alignment/>
    </xf>
    <xf numFmtId="0" fontId="0" fillId="36" borderId="0" xfId="0" applyFill="1" applyAlignment="1">
      <alignment/>
    </xf>
    <xf numFmtId="0" fontId="0" fillId="37" borderId="0" xfId="0" applyFill="1" applyAlignment="1">
      <alignment/>
    </xf>
    <xf numFmtId="0" fontId="1" fillId="0" borderId="0" xfId="0" applyNumberFormat="1" applyFont="1" applyAlignment="1">
      <alignment/>
    </xf>
    <xf numFmtId="0" fontId="0" fillId="0" borderId="10" xfId="0" applyBorder="1" applyAlignment="1" applyProtection="1">
      <alignment/>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protection hidden="1"/>
    </xf>
    <xf numFmtId="2" fontId="0" fillId="0" borderId="10" xfId="0" applyNumberFormat="1" applyBorder="1" applyAlignment="1" applyProtection="1">
      <alignment horizontal="center"/>
      <protection hidden="1"/>
    </xf>
    <xf numFmtId="180"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38" borderId="13" xfId="0" applyNumberFormat="1" applyFill="1" applyBorder="1" applyAlignment="1" applyProtection="1">
      <alignment horizontal="center"/>
      <protection hidden="1"/>
    </xf>
    <xf numFmtId="2" fontId="0" fillId="38" borderId="26" xfId="0" applyNumberFormat="1" applyFill="1" applyBorder="1" applyAlignment="1" applyProtection="1">
      <alignment horizontal="center"/>
      <protection hidden="1"/>
    </xf>
    <xf numFmtId="2" fontId="0" fillId="38" borderId="14" xfId="0" applyNumberFormat="1" applyFill="1" applyBorder="1" applyAlignment="1" applyProtection="1">
      <alignment horizontal="center"/>
      <protection hidden="1"/>
    </xf>
    <xf numFmtId="0" fontId="2" fillId="0" borderId="15" xfId="0" applyFont="1" applyBorder="1" applyAlignment="1">
      <alignment horizontal="center"/>
    </xf>
    <xf numFmtId="0" fontId="2" fillId="0" borderId="12" xfId="0" applyFont="1" applyBorder="1" applyAlignment="1" applyProtection="1">
      <alignment horizontal="center"/>
      <protection hidden="1"/>
    </xf>
    <xf numFmtId="2" fontId="0" fillId="38" borderId="15" xfId="0" applyNumberFormat="1" applyFill="1" applyBorder="1" applyAlignment="1" applyProtection="1">
      <alignment horizontal="center"/>
      <protection hidden="1"/>
    </xf>
    <xf numFmtId="2" fontId="0" fillId="38" borderId="18" xfId="0" applyNumberFormat="1" applyFill="1" applyBorder="1" applyAlignment="1" applyProtection="1">
      <alignment horizontal="center"/>
      <protection hidden="1"/>
    </xf>
    <xf numFmtId="0" fontId="0" fillId="0" borderId="18" xfId="0" applyBorder="1" applyAlignment="1">
      <alignment/>
    </xf>
    <xf numFmtId="2" fontId="0" fillId="38" borderId="20" xfId="0" applyNumberFormat="1" applyFill="1" applyBorder="1" applyAlignment="1" applyProtection="1">
      <alignment horizontal="center"/>
      <protection hidden="1"/>
    </xf>
    <xf numFmtId="2" fontId="0" fillId="0" borderId="18" xfId="0" applyNumberFormat="1" applyBorder="1" applyAlignment="1">
      <alignment horizontal="center"/>
    </xf>
    <xf numFmtId="180" fontId="0" fillId="0" borderId="0" xfId="0" applyNumberFormat="1" applyFill="1" applyBorder="1" applyAlignment="1">
      <alignment horizontal="center"/>
    </xf>
    <xf numFmtId="0" fontId="0" fillId="0" borderId="27"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0" xfId="0" applyFont="1" applyBorder="1" applyAlignment="1">
      <alignment horizontal="center"/>
    </xf>
    <xf numFmtId="0" fontId="14" fillId="0" borderId="0" xfId="0" applyFont="1" applyBorder="1" applyAlignment="1">
      <alignment/>
    </xf>
    <xf numFmtId="0" fontId="15" fillId="0" borderId="0" xfId="0" applyFont="1" applyAlignment="1">
      <alignment horizontal="center" wrapText="1"/>
    </xf>
    <xf numFmtId="0" fontId="9" fillId="0" borderId="0" xfId="0" applyFont="1" applyAlignment="1">
      <alignment wrapText="1"/>
    </xf>
    <xf numFmtId="0" fontId="4" fillId="0" borderId="0" xfId="42" applyAlignment="1" applyProtection="1">
      <alignment wrapText="1"/>
      <protection/>
    </xf>
    <xf numFmtId="0" fontId="1" fillId="0" borderId="10" xfId="0" applyFont="1" applyBorder="1" applyAlignment="1" applyProtection="1">
      <alignment/>
      <protection/>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59" fillId="0" borderId="0" xfId="0" applyFont="1" applyAlignment="1">
      <alignment/>
    </xf>
    <xf numFmtId="0" fontId="1" fillId="0" borderId="0" xfId="0" applyFont="1" applyAlignment="1">
      <alignment/>
    </xf>
    <xf numFmtId="0" fontId="0" fillId="39"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2"/>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3864514"/>
        <c:axId val="57671763"/>
      </c:scatterChart>
      <c:valAx>
        <c:axId val="13864514"/>
        <c:scaling>
          <c:orientation val="minMax"/>
        </c:scaling>
        <c:axPos val="b"/>
        <c:delete val="0"/>
        <c:numFmt formatCode="General" sourceLinked="1"/>
        <c:majorTickMark val="out"/>
        <c:minorTickMark val="none"/>
        <c:tickLblPos val="nextTo"/>
        <c:spPr>
          <a:ln w="3175">
            <a:solidFill>
              <a:srgbClr val="000000"/>
            </a:solidFill>
          </a:ln>
        </c:spPr>
        <c:crossAx val="57671763"/>
        <c:crosses val="autoZero"/>
        <c:crossBetween val="midCat"/>
        <c:dispUnits/>
      </c:valAx>
      <c:valAx>
        <c:axId val="576717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86451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Рабочий!$C$20:$C$31</c:f>
              <c:numCache/>
            </c:numRef>
          </c:xVal>
          <c:yVal>
            <c:numRef>
              <c:f>Рабочий!$D$20:$D$31</c:f>
              <c:numCache/>
            </c:numRef>
          </c:yVal>
          <c:smooth val="1"/>
        </c:ser>
        <c:axId val="59926716"/>
        <c:axId val="2469533"/>
      </c:scatterChart>
      <c:valAx>
        <c:axId val="59926716"/>
        <c:scaling>
          <c:orientation val="minMax"/>
        </c:scaling>
        <c:axPos val="b"/>
        <c:delete val="0"/>
        <c:numFmt formatCode="General" sourceLinked="1"/>
        <c:majorTickMark val="out"/>
        <c:minorTickMark val="none"/>
        <c:tickLblPos val="nextTo"/>
        <c:spPr>
          <a:ln w="3175">
            <a:solidFill>
              <a:srgbClr val="000000"/>
            </a:solidFill>
          </a:ln>
        </c:spPr>
        <c:crossAx val="2469533"/>
        <c:crosses val="autoZero"/>
        <c:crossBetween val="midCat"/>
        <c:dispUnits/>
      </c:valAx>
      <c:valAx>
        <c:axId val="24695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926716"/>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9283820"/>
        <c:axId val="40901197"/>
      </c:scatterChart>
      <c:valAx>
        <c:axId val="49283820"/>
        <c:scaling>
          <c:orientation val="minMax"/>
        </c:scaling>
        <c:axPos val="b"/>
        <c:delete val="0"/>
        <c:numFmt formatCode="General" sourceLinked="1"/>
        <c:majorTickMark val="out"/>
        <c:minorTickMark val="none"/>
        <c:tickLblPos val="nextTo"/>
        <c:spPr>
          <a:ln w="3175">
            <a:solidFill>
              <a:srgbClr val="000000"/>
            </a:solidFill>
          </a:ln>
        </c:spPr>
        <c:crossAx val="40901197"/>
        <c:crosses val="autoZero"/>
        <c:crossBetween val="midCat"/>
        <c:dispUnits/>
      </c:valAx>
      <c:valAx>
        <c:axId val="409011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28382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32566454"/>
        <c:axId val="24662631"/>
      </c:scatterChart>
      <c:valAx>
        <c:axId val="32566454"/>
        <c:scaling>
          <c:orientation val="minMax"/>
        </c:scaling>
        <c:axPos val="b"/>
        <c:delete val="0"/>
        <c:numFmt formatCode="General" sourceLinked="1"/>
        <c:majorTickMark val="out"/>
        <c:minorTickMark val="none"/>
        <c:tickLblPos val="nextTo"/>
        <c:spPr>
          <a:ln w="3175">
            <a:solidFill>
              <a:srgbClr val="000000"/>
            </a:solidFill>
          </a:ln>
        </c:spPr>
        <c:crossAx val="24662631"/>
        <c:crosses val="autoZero"/>
        <c:crossBetween val="midCat"/>
        <c:dispUnits/>
      </c:valAx>
      <c:valAx>
        <c:axId val="246626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56645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0637088"/>
        <c:axId val="51516065"/>
      </c:scatterChart>
      <c:valAx>
        <c:axId val="20637088"/>
        <c:scaling>
          <c:orientation val="minMax"/>
        </c:scaling>
        <c:axPos val="b"/>
        <c:delete val="0"/>
        <c:numFmt formatCode="General" sourceLinked="1"/>
        <c:majorTickMark val="out"/>
        <c:minorTickMark val="none"/>
        <c:tickLblPos val="nextTo"/>
        <c:spPr>
          <a:ln w="3175">
            <a:solidFill>
              <a:srgbClr val="000000"/>
            </a:solidFill>
          </a:ln>
        </c:spPr>
        <c:crossAx val="51516065"/>
        <c:crosses val="autoZero"/>
        <c:crossBetween val="midCat"/>
        <c:dispUnits/>
      </c:valAx>
      <c:valAx>
        <c:axId val="515160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3708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60991402"/>
        <c:axId val="12051707"/>
      </c:scatterChart>
      <c:valAx>
        <c:axId val="60991402"/>
        <c:scaling>
          <c:orientation val="minMax"/>
        </c:scaling>
        <c:axPos val="b"/>
        <c:delete val="0"/>
        <c:numFmt formatCode="General" sourceLinked="1"/>
        <c:majorTickMark val="out"/>
        <c:minorTickMark val="none"/>
        <c:tickLblPos val="nextTo"/>
        <c:spPr>
          <a:ln w="3175">
            <a:solidFill>
              <a:srgbClr val="000000"/>
            </a:solidFill>
          </a:ln>
        </c:spPr>
        <c:crossAx val="12051707"/>
        <c:crosses val="autoZero"/>
        <c:crossBetween val="midCat"/>
        <c:dispUnits/>
      </c:valAx>
      <c:valAx>
        <c:axId val="120517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99140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1356500"/>
        <c:axId val="36664181"/>
      </c:scatterChart>
      <c:valAx>
        <c:axId val="41356500"/>
        <c:scaling>
          <c:orientation val="minMax"/>
        </c:scaling>
        <c:axPos val="b"/>
        <c:delete val="0"/>
        <c:numFmt formatCode="General" sourceLinked="1"/>
        <c:majorTickMark val="out"/>
        <c:minorTickMark val="none"/>
        <c:tickLblPos val="nextTo"/>
        <c:spPr>
          <a:ln w="3175">
            <a:solidFill>
              <a:srgbClr val="000000"/>
            </a:solidFill>
          </a:ln>
        </c:spPr>
        <c:crossAx val="36664181"/>
        <c:crosses val="autoZero"/>
        <c:crossBetween val="midCat"/>
        <c:dispUnits/>
      </c:valAx>
      <c:valAx>
        <c:axId val="366641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35650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61542174"/>
        <c:axId val="17008655"/>
      </c:scatterChart>
      <c:valAx>
        <c:axId val="61542174"/>
        <c:scaling>
          <c:orientation val="minMax"/>
        </c:scaling>
        <c:axPos val="b"/>
        <c:delete val="0"/>
        <c:numFmt formatCode="General" sourceLinked="1"/>
        <c:majorTickMark val="out"/>
        <c:minorTickMark val="none"/>
        <c:tickLblPos val="nextTo"/>
        <c:spPr>
          <a:ln w="3175">
            <a:solidFill>
              <a:srgbClr val="000000"/>
            </a:solidFill>
          </a:ln>
        </c:spPr>
        <c:crossAx val="17008655"/>
        <c:crosses val="autoZero"/>
        <c:crossBetween val="midCat"/>
        <c:dispUnits/>
      </c:valAx>
      <c:valAx>
        <c:axId val="170086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54217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8860168"/>
        <c:axId val="35523785"/>
      </c:scatterChart>
      <c:valAx>
        <c:axId val="18860168"/>
        <c:scaling>
          <c:orientation val="minMax"/>
        </c:scaling>
        <c:axPos val="b"/>
        <c:delete val="0"/>
        <c:numFmt formatCode="General" sourceLinked="1"/>
        <c:majorTickMark val="out"/>
        <c:minorTickMark val="none"/>
        <c:tickLblPos val="nextTo"/>
        <c:spPr>
          <a:ln w="3175">
            <a:solidFill>
              <a:srgbClr val="000000"/>
            </a:solidFill>
          </a:ln>
        </c:spPr>
        <c:crossAx val="35523785"/>
        <c:crosses val="autoZero"/>
        <c:crossBetween val="midCat"/>
        <c:dispUnits/>
      </c:valAx>
      <c:valAx>
        <c:axId val="355237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86016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1278610"/>
        <c:axId val="58854307"/>
      </c:scatterChart>
      <c:valAx>
        <c:axId val="51278610"/>
        <c:scaling>
          <c:orientation val="minMax"/>
        </c:scaling>
        <c:axPos val="b"/>
        <c:delete val="0"/>
        <c:numFmt formatCode="General" sourceLinked="1"/>
        <c:majorTickMark val="out"/>
        <c:minorTickMark val="none"/>
        <c:tickLblPos val="nextTo"/>
        <c:spPr>
          <a:ln w="3175">
            <a:solidFill>
              <a:srgbClr val="000000"/>
            </a:solidFill>
          </a:ln>
        </c:spPr>
        <c:crossAx val="58854307"/>
        <c:crosses val="autoZero"/>
        <c:crossBetween val="midCat"/>
        <c:dispUnits/>
      </c:valAx>
      <c:valAx>
        <c:axId val="588543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7861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 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Диаграмма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Диаграмма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Диаграмма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Диаграмма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Диаграмма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Диаграмма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Диаграмма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Диаграмма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Диаграмма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Диаграмма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zoomScalePageLayoutView="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146</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117</v>
      </c>
    </row>
    <row r="14" ht="15.75">
      <c r="B14" s="38" t="s">
        <v>56</v>
      </c>
    </row>
    <row r="15" ht="15.75">
      <c r="B15" s="38" t="s">
        <v>33</v>
      </c>
    </row>
    <row r="16" ht="15.75">
      <c r="B16" s="31"/>
    </row>
    <row r="17" ht="18.75">
      <c r="B17" s="29" t="s">
        <v>30</v>
      </c>
    </row>
    <row r="18" ht="18.75">
      <c r="B18" s="29"/>
    </row>
    <row r="19" spans="2:3" ht="47.25">
      <c r="B19" s="32" t="s">
        <v>118</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119</v>
      </c>
      <c r="C28" s="21"/>
    </row>
    <row r="29" spans="2:3" ht="15.75">
      <c r="B29" s="35"/>
      <c r="C29" s="21"/>
    </row>
    <row r="30" spans="2:3" ht="15.75">
      <c r="B30" s="35" t="s">
        <v>38</v>
      </c>
      <c r="C30" s="19"/>
    </row>
    <row r="31" spans="2:3" ht="15.75">
      <c r="B31" s="32"/>
      <c r="C31" s="19"/>
    </row>
    <row r="32" spans="2:3" ht="15.75">
      <c r="B32" s="32" t="s">
        <v>120</v>
      </c>
      <c r="C32" s="19"/>
    </row>
    <row r="33" spans="2:3" ht="15.75">
      <c r="B33" s="32"/>
      <c r="C33" s="23"/>
    </row>
    <row r="34" spans="2:3" ht="15.75">
      <c r="B34" s="32" t="s">
        <v>121</v>
      </c>
      <c r="C34" s="23"/>
    </row>
    <row r="35" spans="2:3" ht="15.75">
      <c r="B35" s="32" t="s">
        <v>122</v>
      </c>
      <c r="C35" s="21"/>
    </row>
    <row r="36" spans="2:3" ht="15.75">
      <c r="B36" s="32" t="s">
        <v>123</v>
      </c>
      <c r="C36" s="21"/>
    </row>
    <row r="37" spans="2:3" ht="15.75">
      <c r="B37" s="32" t="s">
        <v>124</v>
      </c>
      <c r="C37" s="22"/>
    </row>
    <row r="38" spans="2:3" ht="15.75">
      <c r="B38" s="32" t="s">
        <v>125</v>
      </c>
      <c r="C38" s="22"/>
    </row>
    <row r="39" spans="2:3" ht="15.75">
      <c r="B39" s="32" t="s">
        <v>126</v>
      </c>
      <c r="C39" s="21"/>
    </row>
    <row r="40" spans="2:3" ht="15.75">
      <c r="B40" s="32" t="s">
        <v>127</v>
      </c>
      <c r="C40" s="21"/>
    </row>
    <row r="41" spans="2:4" ht="15.75">
      <c r="B41" s="32" t="s">
        <v>128</v>
      </c>
      <c r="C41" s="21"/>
      <c r="D41" s="21"/>
    </row>
    <row r="42" spans="2:4" ht="15.75">
      <c r="B42" s="32" t="s">
        <v>129</v>
      </c>
      <c r="C42" s="24"/>
      <c r="D42" s="21"/>
    </row>
    <row r="43" spans="2:4" ht="15.75">
      <c r="B43" s="32" t="s">
        <v>130</v>
      </c>
      <c r="C43" s="24"/>
      <c r="D43" s="21"/>
    </row>
    <row r="44" spans="2:3" ht="15.75">
      <c r="B44" s="32"/>
      <c r="C44" s="23"/>
    </row>
    <row r="45" spans="2:3" ht="15.75">
      <c r="B45" s="32" t="s">
        <v>131</v>
      </c>
      <c r="C45" s="23"/>
    </row>
    <row r="46" spans="2:3" ht="15.75">
      <c r="B46" s="32" t="s">
        <v>132</v>
      </c>
      <c r="C46" s="21"/>
    </row>
    <row r="47" spans="2:3" ht="15.75">
      <c r="B47" s="32" t="s">
        <v>133</v>
      </c>
      <c r="C47" s="21"/>
    </row>
    <row r="48" spans="2:3" ht="15.75">
      <c r="B48" s="32" t="s">
        <v>134</v>
      </c>
      <c r="C48" s="22"/>
    </row>
    <row r="49" spans="2:3" ht="15.75">
      <c r="B49" s="32" t="s">
        <v>135</v>
      </c>
      <c r="C49" s="22"/>
    </row>
    <row r="50" spans="2:3" ht="31.5">
      <c r="B50" s="32" t="s">
        <v>136</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137</v>
      </c>
    </row>
    <row r="65" ht="15">
      <c r="B65" s="100"/>
    </row>
    <row r="66" ht="18.75">
      <c r="B66" s="29" t="s">
        <v>117</v>
      </c>
    </row>
    <row r="67" ht="18.75">
      <c r="B67" s="29"/>
    </row>
    <row r="68" ht="15.75">
      <c r="B68" s="30"/>
    </row>
    <row r="69" ht="15.75">
      <c r="B69" s="32" t="s">
        <v>138</v>
      </c>
    </row>
    <row r="70" ht="14.25">
      <c r="B70" s="101"/>
    </row>
    <row r="71" ht="31.5">
      <c r="B71" s="32" t="s">
        <v>139</v>
      </c>
    </row>
    <row r="72" ht="15.75">
      <c r="B72" s="34" t="s">
        <v>140</v>
      </c>
    </row>
    <row r="73" ht="31.5">
      <c r="B73" s="34" t="s">
        <v>141</v>
      </c>
    </row>
    <row r="74" ht="63">
      <c r="B74" s="34" t="s">
        <v>142</v>
      </c>
    </row>
    <row r="75" ht="31.5">
      <c r="B75" s="34" t="s">
        <v>143</v>
      </c>
    </row>
    <row r="76" ht="94.5">
      <c r="B76" s="37" t="s">
        <v>144</v>
      </c>
    </row>
    <row r="78" ht="15.75">
      <c r="B78" s="37"/>
    </row>
    <row r="79" ht="240.75" customHeight="1">
      <c r="B79" s="31" t="s">
        <v>51</v>
      </c>
    </row>
    <row r="80" ht="15.75">
      <c r="B80" s="31"/>
    </row>
    <row r="81" ht="55.5" customHeight="1">
      <c r="B81" s="34" t="s">
        <v>145</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zoomScalePageLayoutView="0" workbookViewId="0" topLeftCell="A1">
      <selection activeCell="J37" sqref="J37"/>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115</v>
      </c>
    </row>
    <row r="4" spans="2:14" ht="64.5" customHeight="1" thickBot="1">
      <c r="B4" s="7"/>
      <c r="C4" s="65" t="str">
        <f>CONCATENATE("Концентрация ",Рабочий!H48," в калибраторах, ",Рабочий!L48)</f>
        <v>Концентрация анти-ТПО в калибраторах, МЕ/мл</v>
      </c>
      <c r="D4" s="108" t="s">
        <v>17</v>
      </c>
      <c r="E4" s="109"/>
      <c r="N4" t="s">
        <v>72</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116</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анти-ТПО в образце, МЕ/мл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114</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66"/>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66"/>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анти-ТПО</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анти-ТПО</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1E-06</v>
      </c>
      <c r="D45" s="99"/>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I7:K12 C5:E16"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2"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1:AL136"/>
  <sheetViews>
    <sheetView zoomScalePageLayoutView="0" workbookViewId="0" topLeftCell="M88">
      <selection activeCell="R121" sqref="R121"/>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c r="A1">
        <v>2</v>
      </c>
    </row>
    <row r="2" spans="3:35" ht="14.25" customHeight="1">
      <c r="C2" t="s">
        <v>66</v>
      </c>
      <c r="D2">
        <f>I48</f>
        <v>5</v>
      </c>
      <c r="M2" s="45"/>
      <c r="N2" s="46"/>
      <c r="O2" s="46"/>
      <c r="P2" s="46"/>
      <c r="Q2" s="46"/>
      <c r="R2" s="46"/>
      <c r="S2" s="46"/>
      <c r="T2" s="46"/>
      <c r="U2" s="46"/>
      <c r="V2" s="46"/>
      <c r="W2" s="46"/>
      <c r="X2" s="47"/>
      <c r="Y2" s="55"/>
      <c r="Z2" s="56"/>
      <c r="AA2" s="56"/>
      <c r="AB2" s="56"/>
      <c r="AC2" s="56"/>
      <c r="AD2" s="56"/>
      <c r="AE2" s="56"/>
      <c r="AF2" s="57"/>
      <c r="AI2" t="s">
        <v>63</v>
      </c>
    </row>
    <row r="3" spans="3:32" ht="14.25" customHeight="1">
      <c r="C3" t="str">
        <f>IF(D$2=1,N5,IF(D$2=2,R5,IF(D$2=3,V5,IF(D$2=4,Z5,AD5))))</f>
        <v>R² = 0.9985</v>
      </c>
      <c r="M3" s="48"/>
      <c r="N3" s="49"/>
      <c r="O3" s="49"/>
      <c r="P3" s="49"/>
      <c r="Q3" s="49"/>
      <c r="R3" s="49"/>
      <c r="S3" s="49"/>
      <c r="T3" s="49"/>
      <c r="U3" s="49"/>
      <c r="V3" s="49"/>
      <c r="W3" s="49"/>
      <c r="X3" s="50"/>
      <c r="Y3" s="58"/>
      <c r="Z3" s="59"/>
      <c r="AA3" s="59"/>
      <c r="AB3" s="59"/>
      <c r="AC3" s="59"/>
      <c r="AD3" s="59"/>
      <c r="AE3" s="59"/>
      <c r="AF3" s="60"/>
    </row>
    <row r="4" spans="3:38" ht="14.25" customHeight="1">
      <c r="C4" t="str">
        <f>IF(D$2=1,N6,IF(D$2=2,R6,IF(D$2=3,V6,IF(D$2=4,Z6,AD6))))</f>
        <v>y = -9E-06x3 + 0.0006x2 + 0.0569x</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str">
        <f>MID(C4,4,LEN(C4)-3)</f>
        <v> -9E-06x3 + 0.0006x2 + 0.0569x</v>
      </c>
      <c r="M5" s="48"/>
      <c r="N5" s="49" t="s">
        <v>176</v>
      </c>
      <c r="O5" s="49"/>
      <c r="P5" s="49"/>
      <c r="Q5" s="49"/>
      <c r="R5" s="49" t="s">
        <v>178</v>
      </c>
      <c r="S5" s="49"/>
      <c r="T5" s="49"/>
      <c r="U5" s="49"/>
      <c r="V5" s="49" t="s">
        <v>156</v>
      </c>
      <c r="W5" s="49"/>
      <c r="X5" s="50"/>
      <c r="Y5" s="58"/>
      <c r="Z5" s="59" t="s">
        <v>181</v>
      </c>
      <c r="AA5" s="59"/>
      <c r="AB5" s="59"/>
      <c r="AC5" s="59"/>
      <c r="AD5" s="59" t="s">
        <v>183</v>
      </c>
      <c r="AE5" s="59"/>
      <c r="AF5" s="60"/>
      <c r="AI5" t="s">
        <v>4</v>
      </c>
      <c r="AJ5">
        <v>40</v>
      </c>
      <c r="AK5">
        <v>120</v>
      </c>
    </row>
    <row r="6" spans="13:37" ht="14.25" customHeight="1">
      <c r="M6" s="48"/>
      <c r="N6" s="49" t="s">
        <v>177</v>
      </c>
      <c r="O6" s="49"/>
      <c r="P6" s="49"/>
      <c r="Q6" s="49"/>
      <c r="R6" s="49" t="s">
        <v>179</v>
      </c>
      <c r="S6" s="49"/>
      <c r="T6" s="49"/>
      <c r="U6" s="49"/>
      <c r="V6" s="49" t="s">
        <v>180</v>
      </c>
      <c r="W6" s="49"/>
      <c r="X6" s="50"/>
      <c r="Y6" s="58"/>
      <c r="Z6" s="59" t="s">
        <v>182</v>
      </c>
      <c r="AA6" s="59"/>
      <c r="AB6" s="59"/>
      <c r="AC6" s="59"/>
      <c r="AD6" s="59" t="s">
        <v>184</v>
      </c>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f>SEARCH("X3",$C$5,1)</f>
        <v>8</v>
      </c>
      <c r="E10">
        <f>IF(ISNUMBER(D9),D9+3,1)</f>
        <v>1</v>
      </c>
      <c r="F10">
        <f t="shared" si="0"/>
        <v>8</v>
      </c>
      <c r="G10" t="str">
        <f>IF(ISNUMBER(D10),MID($C$5,E10,F10-E10),0)</f>
        <v> -9E-06</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f>SEARCH("X2",$C$5,1)</f>
        <v>19</v>
      </c>
      <c r="E11">
        <f>IF(ISNUMBER(D10),D10+3,1)</f>
        <v>11</v>
      </c>
      <c r="F11">
        <f t="shared" si="0"/>
        <v>19</v>
      </c>
      <c r="G11" t="str">
        <f>IF(ISNUMBER(D11),MID($C$5,E11,F11-E11),0)</f>
        <v>+ 0.0006</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f>SEARCH("X",$C$5,IF(ISNUMBER(D11),D11+2,1))</f>
        <v>30</v>
      </c>
      <c r="E12">
        <f>IF(ISNUMBER(D11),D11+3,1)</f>
        <v>22</v>
      </c>
      <c r="F12">
        <f t="shared" si="0"/>
        <v>30</v>
      </c>
      <c r="G12" t="str">
        <f>IF(ISNUMBER(D12),MID($C$5,E12,F12-E12),0)</f>
        <v>+ 0.0569</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f>LEN(C5)</f>
        <v>30</v>
      </c>
      <c r="E13">
        <f>IF(ISNUMBER(D12),D12+3,1)</f>
        <v>33</v>
      </c>
      <c r="F13">
        <f t="shared" si="0"/>
        <v>30</v>
      </c>
      <c r="G13">
        <f>IF(D13&gt;E13,IF(ISNUMBER(D13),MID($C$5,E13-1,F13-E13+2),0),0)</f>
        <v>0</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f>ABS(MID(C3,5,LEN(C3)-4))</f>
        <v>0.9985</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анти-ТПО в калибраторах, МЕ/мл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0.29837499999999995</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1</v>
      </c>
      <c r="L45">
        <f>IF(COUNT('Ввод данных и результаты'!C19:C22)&gt;0,AVERAGE('Ввод данных и результаты'!C19:C22),0)</f>
        <v>0</v>
      </c>
    </row>
    <row r="46" spans="4:10" ht="12.75">
      <c r="D46" s="4"/>
      <c r="H46" t="s">
        <v>60</v>
      </c>
      <c r="J46" t="str">
        <f>J48</f>
        <v>-</v>
      </c>
    </row>
    <row r="47" spans="4:16" ht="12.75">
      <c r="D47" s="4"/>
      <c r="H47" s="70" t="s">
        <v>73</v>
      </c>
      <c r="I47" t="s">
        <v>66</v>
      </c>
      <c r="J47" s="4" t="s">
        <v>74</v>
      </c>
      <c r="K47" s="4" t="s">
        <v>68</v>
      </c>
      <c r="L47" s="4" t="s">
        <v>75</v>
      </c>
      <c r="M47" s="4" t="s">
        <v>76</v>
      </c>
      <c r="N47" s="4" t="s">
        <v>77</v>
      </c>
      <c r="O47" s="4" t="s">
        <v>76</v>
      </c>
      <c r="P47" s="4" t="s">
        <v>77</v>
      </c>
    </row>
    <row r="48" spans="4:16" ht="12.75">
      <c r="D48" s="4"/>
      <c r="G48" s="7">
        <v>7</v>
      </c>
      <c r="H48" t="str">
        <f ca="1">INDIRECT(ADDRESS(94+$G$48,7))</f>
        <v>анти-ТПО</v>
      </c>
      <c r="I48">
        <f ca="1">INDIRECT(ADDRESS(94+$G$48,8))</f>
        <v>5</v>
      </c>
      <c r="J48" t="str">
        <f ca="1">INDIRECT(ADDRESS(94+$G$48,9))</f>
        <v>-</v>
      </c>
      <c r="K48">
        <f ca="1">INDIRECT(ADDRESS(94+$G$48,10))</f>
        <v>1</v>
      </c>
      <c r="L48" t="str">
        <f ca="1">INDIRECT(ADDRESS(94+$G$48,11))</f>
        <v>МЕ/мл</v>
      </c>
      <c r="M48" t="str">
        <f ca="1">INDIRECT(ADDRESS(94+$G$48,12))</f>
        <v>&lt;2</v>
      </c>
      <c r="N48" t="str">
        <f ca="1">INDIRECT(ADDRESS(94+$G$48,13))</f>
        <v>&gt;-1000000</v>
      </c>
      <c r="O48">
        <f ca="1">INDIRECT(ADDRESS(94+$G$48,14))</f>
        <v>1E-06</v>
      </c>
      <c r="P48">
        <f ca="1">INDIRECT(ADDRESS(94+$G$48,15))</f>
        <v>30</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78</v>
      </c>
      <c r="N93" t="s">
        <v>63</v>
      </c>
      <c r="V93" s="7"/>
      <c r="W93" s="7"/>
      <c r="X93" s="7"/>
      <c r="Y93" s="7"/>
      <c r="Z93" s="7"/>
      <c r="AA93" s="7"/>
      <c r="AB93" s="7"/>
      <c r="AC93" s="7"/>
      <c r="AD93" s="7"/>
      <c r="AE93" s="7"/>
      <c r="AF93" s="7"/>
      <c r="AG93" s="7"/>
    </row>
    <row r="94" spans="7:15" ht="12.75">
      <c r="G94" s="70" t="s">
        <v>73</v>
      </c>
      <c r="H94" t="s">
        <v>66</v>
      </c>
      <c r="I94" s="4" t="s">
        <v>74</v>
      </c>
      <c r="J94" s="4" t="s">
        <v>68</v>
      </c>
      <c r="K94" s="4" t="s">
        <v>75</v>
      </c>
      <c r="L94" s="4" t="s">
        <v>76</v>
      </c>
      <c r="M94" s="4" t="s">
        <v>77</v>
      </c>
      <c r="N94" s="4" t="s">
        <v>76</v>
      </c>
      <c r="O94" s="4" t="s">
        <v>77</v>
      </c>
    </row>
    <row r="95" spans="4:22" ht="15">
      <c r="D95" t="s">
        <v>100</v>
      </c>
      <c r="E95">
        <v>5</v>
      </c>
      <c r="G95" t="s">
        <v>71</v>
      </c>
      <c r="H95">
        <v>5</v>
      </c>
      <c r="I95" s="4" t="s">
        <v>62</v>
      </c>
      <c r="J95" s="4">
        <v>1</v>
      </c>
      <c r="K95" t="s">
        <v>83</v>
      </c>
      <c r="L95" t="str">
        <f>V95</f>
        <v>&lt;0.05</v>
      </c>
      <c r="M95" t="str">
        <f>CONCATENATE("&gt;",$J$34)</f>
        <v>&gt;-1000000</v>
      </c>
      <c r="N95">
        <v>0.4</v>
      </c>
      <c r="O95">
        <v>4</v>
      </c>
      <c r="R95" s="110" t="s">
        <v>175</v>
      </c>
      <c r="U95">
        <v>0.05</v>
      </c>
      <c r="V95" s="111" t="str">
        <f>CONCATENATE("&lt;",U95)</f>
        <v>&lt;0.05</v>
      </c>
    </row>
    <row r="96" spans="4:22" ht="15">
      <c r="D96" t="s">
        <v>99</v>
      </c>
      <c r="E96">
        <v>1</v>
      </c>
      <c r="G96" t="s">
        <v>81</v>
      </c>
      <c r="H96">
        <v>2</v>
      </c>
      <c r="I96" s="4" t="s">
        <v>95</v>
      </c>
      <c r="J96" s="4">
        <v>0</v>
      </c>
      <c r="K96" t="s">
        <v>82</v>
      </c>
      <c r="L96" s="112" t="str">
        <f>CONCATENATE("&gt;",$J$34)</f>
        <v>&gt;-1000000</v>
      </c>
      <c r="M96" t="str">
        <f>V96</f>
        <v>&lt;1</v>
      </c>
      <c r="N96">
        <v>9</v>
      </c>
      <c r="O96">
        <v>22.2</v>
      </c>
      <c r="R96" s="110" t="s">
        <v>170</v>
      </c>
      <c r="U96">
        <v>1</v>
      </c>
      <c r="V96" s="111" t="str">
        <f aca="true" t="shared" si="25" ref="V96:V113">CONCATENATE("&lt;",U96)</f>
        <v>&lt;1</v>
      </c>
    </row>
    <row r="97" spans="4:22" ht="15">
      <c r="D97" t="s">
        <v>111</v>
      </c>
      <c r="E97">
        <v>2</v>
      </c>
      <c r="G97" t="s">
        <v>97</v>
      </c>
      <c r="H97">
        <v>2</v>
      </c>
      <c r="I97" t="s">
        <v>95</v>
      </c>
      <c r="J97" s="4">
        <v>0</v>
      </c>
      <c r="K97" s="4" t="s">
        <v>96</v>
      </c>
      <c r="L97" s="112" t="str">
        <f>CONCATENATE("&gt;",$J$34)</f>
        <v>&gt;-1000000</v>
      </c>
      <c r="M97" t="str">
        <f>V97</f>
        <v>&lt;5</v>
      </c>
      <c r="N97">
        <v>59</v>
      </c>
      <c r="O97">
        <v>153</v>
      </c>
      <c r="R97" s="110" t="s">
        <v>169</v>
      </c>
      <c r="U97">
        <v>5</v>
      </c>
      <c r="V97" s="111" t="str">
        <f t="shared" si="25"/>
        <v>&lt;5</v>
      </c>
    </row>
    <row r="98" spans="4:22" ht="15">
      <c r="D98" t="s">
        <v>112</v>
      </c>
      <c r="E98">
        <v>3</v>
      </c>
      <c r="G98" t="s">
        <v>92</v>
      </c>
      <c r="H98">
        <v>2</v>
      </c>
      <c r="I98" t="s">
        <v>95</v>
      </c>
      <c r="J98" s="4">
        <v>0</v>
      </c>
      <c r="K98" s="4" t="s">
        <v>98</v>
      </c>
      <c r="L98" s="112" t="str">
        <f>CONCATENATE("&gt;",$J$34)</f>
        <v>&gt;-1000000</v>
      </c>
      <c r="M98" t="str">
        <f>V98</f>
        <v>&lt;0.3</v>
      </c>
      <c r="N98">
        <v>1.2</v>
      </c>
      <c r="O98">
        <v>4.2</v>
      </c>
      <c r="R98" s="110" t="s">
        <v>168</v>
      </c>
      <c r="U98">
        <v>0.3</v>
      </c>
      <c r="V98" s="111" t="str">
        <f t="shared" si="25"/>
        <v>&lt;0.3</v>
      </c>
    </row>
    <row r="99" spans="4:22" ht="15">
      <c r="D99" t="s">
        <v>113</v>
      </c>
      <c r="E99">
        <v>4</v>
      </c>
      <c r="G99" t="s">
        <v>93</v>
      </c>
      <c r="H99">
        <v>2</v>
      </c>
      <c r="I99" t="s">
        <v>95</v>
      </c>
      <c r="J99" s="4">
        <v>0</v>
      </c>
      <c r="K99" s="4" t="s">
        <v>89</v>
      </c>
      <c r="L99" s="112" t="str">
        <f>CONCATENATE("&gt;",$J$34)</f>
        <v>&gt;-1000000</v>
      </c>
      <c r="M99" t="str">
        <f>V99</f>
        <v>&lt;0.2</v>
      </c>
      <c r="N99">
        <v>0.56</v>
      </c>
      <c r="O99">
        <v>1.88</v>
      </c>
      <c r="R99" s="110" t="s">
        <v>167</v>
      </c>
      <c r="U99">
        <v>0.2</v>
      </c>
      <c r="V99" s="111" t="str">
        <f t="shared" si="25"/>
        <v>&lt;0.2</v>
      </c>
    </row>
    <row r="100" spans="4:22" ht="15">
      <c r="D100" t="s">
        <v>102</v>
      </c>
      <c r="E100">
        <v>10</v>
      </c>
      <c r="G100" t="s">
        <v>86</v>
      </c>
      <c r="H100">
        <v>5</v>
      </c>
      <c r="I100" s="4" t="s">
        <v>62</v>
      </c>
      <c r="J100" s="4">
        <v>1</v>
      </c>
      <c r="K100" t="s">
        <v>79</v>
      </c>
      <c r="L100" t="str">
        <f>V100</f>
        <v>&lt;5</v>
      </c>
      <c r="M100" t="str">
        <f aca="true" t="shared" si="26" ref="M100:M109">CONCATENATE("&gt;",$J$34)</f>
        <v>&gt;-1000000</v>
      </c>
      <c r="N100">
        <v>1E-06</v>
      </c>
      <c r="O100">
        <v>100</v>
      </c>
      <c r="R100" s="110" t="s">
        <v>173</v>
      </c>
      <c r="U100">
        <v>5</v>
      </c>
      <c r="V100" s="111" t="str">
        <f t="shared" si="25"/>
        <v>&lt;5</v>
      </c>
    </row>
    <row r="101" spans="4:22" ht="15">
      <c r="D101" t="s">
        <v>103</v>
      </c>
      <c r="E101">
        <v>11</v>
      </c>
      <c r="G101" t="s">
        <v>87</v>
      </c>
      <c r="H101">
        <v>5</v>
      </c>
      <c r="I101" s="4" t="s">
        <v>62</v>
      </c>
      <c r="J101" s="4">
        <v>1</v>
      </c>
      <c r="K101" t="s">
        <v>79</v>
      </c>
      <c r="L101" t="str">
        <f aca="true" t="shared" si="27" ref="L101:L109">V101</f>
        <v>&lt;2</v>
      </c>
      <c r="M101" t="str">
        <f t="shared" si="26"/>
        <v>&gt;-1000000</v>
      </c>
      <c r="N101">
        <v>1E-06</v>
      </c>
      <c r="O101">
        <v>30</v>
      </c>
      <c r="R101" s="110" t="s">
        <v>174</v>
      </c>
      <c r="U101">
        <v>2</v>
      </c>
      <c r="V101" s="111" t="str">
        <f t="shared" si="25"/>
        <v>&lt;2</v>
      </c>
    </row>
    <row r="102" spans="4:22" ht="15">
      <c r="D102" t="s">
        <v>110</v>
      </c>
      <c r="E102">
        <v>15</v>
      </c>
      <c r="G102" t="s">
        <v>94</v>
      </c>
      <c r="H102">
        <v>5</v>
      </c>
      <c r="I102" s="4" t="s">
        <v>62</v>
      </c>
      <c r="J102" s="4">
        <v>1</v>
      </c>
      <c r="K102" t="s">
        <v>89</v>
      </c>
      <c r="L102" t="str">
        <f t="shared" si="27"/>
        <v>&lt;1.5</v>
      </c>
      <c r="M102" t="str">
        <f t="shared" si="26"/>
        <v>&gt;-1000000</v>
      </c>
      <c r="N102">
        <v>1E-06</v>
      </c>
      <c r="O102">
        <v>50</v>
      </c>
      <c r="R102" s="110" t="s">
        <v>171</v>
      </c>
      <c r="U102">
        <v>1.5</v>
      </c>
      <c r="V102" s="111" t="str">
        <f t="shared" si="25"/>
        <v>&lt;1.5</v>
      </c>
    </row>
    <row r="103" spans="4:22" ht="15">
      <c r="D103" t="s">
        <v>107</v>
      </c>
      <c r="E103">
        <v>7</v>
      </c>
      <c r="G103" t="s">
        <v>70</v>
      </c>
      <c r="H103">
        <v>5</v>
      </c>
      <c r="I103" s="4" t="s">
        <v>62</v>
      </c>
      <c r="J103" s="4">
        <v>1</v>
      </c>
      <c r="K103" t="s">
        <v>80</v>
      </c>
      <c r="L103" t="str">
        <f t="shared" si="27"/>
        <v>&lt;0.3</v>
      </c>
      <c r="M103" t="str">
        <f t="shared" si="26"/>
        <v>&gt;-1000000</v>
      </c>
      <c r="N103">
        <v>1E-06</v>
      </c>
      <c r="O103">
        <v>1000</v>
      </c>
      <c r="R103" s="110" t="s">
        <v>158</v>
      </c>
      <c r="U103">
        <v>0.3</v>
      </c>
      <c r="V103" s="111" t="str">
        <f t="shared" si="25"/>
        <v>&lt;0.3</v>
      </c>
    </row>
    <row r="104" spans="4:22" ht="15">
      <c r="D104" t="s">
        <v>108</v>
      </c>
      <c r="E104">
        <v>8</v>
      </c>
      <c r="G104" t="s">
        <v>69</v>
      </c>
      <c r="H104">
        <v>5</v>
      </c>
      <c r="I104" s="4" t="s">
        <v>62</v>
      </c>
      <c r="J104" s="4">
        <v>1</v>
      </c>
      <c r="K104" t="s">
        <v>80</v>
      </c>
      <c r="L104" t="str">
        <f t="shared" si="27"/>
        <v>&lt;0.3</v>
      </c>
      <c r="M104" t="str">
        <f t="shared" si="26"/>
        <v>&gt;-1000000</v>
      </c>
      <c r="N104">
        <v>1E-06</v>
      </c>
      <c r="O104">
        <v>1000</v>
      </c>
      <c r="R104" s="110" t="s">
        <v>159</v>
      </c>
      <c r="U104">
        <v>0.3</v>
      </c>
      <c r="V104" s="111" t="str">
        <f t="shared" si="25"/>
        <v>&lt;0.3</v>
      </c>
    </row>
    <row r="105" spans="4:22" ht="15">
      <c r="D105" t="s">
        <v>101</v>
      </c>
      <c r="E105">
        <v>9</v>
      </c>
      <c r="G105" t="s">
        <v>85</v>
      </c>
      <c r="H105">
        <v>5</v>
      </c>
      <c r="I105" s="4" t="s">
        <v>62</v>
      </c>
      <c r="J105" s="4">
        <v>1</v>
      </c>
      <c r="K105" t="s">
        <v>80</v>
      </c>
      <c r="L105" t="str">
        <f t="shared" si="27"/>
        <v>&lt;10</v>
      </c>
      <c r="M105" t="str">
        <f t="shared" si="26"/>
        <v>&gt;-1000000</v>
      </c>
      <c r="N105">
        <v>1E-06</v>
      </c>
      <c r="O105">
        <v>1000</v>
      </c>
      <c r="R105" s="110" t="s">
        <v>161</v>
      </c>
      <c r="U105">
        <v>10</v>
      </c>
      <c r="V105" s="111" t="str">
        <f t="shared" si="25"/>
        <v>&lt;10</v>
      </c>
    </row>
    <row r="106" spans="4:22" ht="15">
      <c r="D106" t="s">
        <v>109</v>
      </c>
      <c r="E106">
        <v>6</v>
      </c>
      <c r="G106" t="s">
        <v>84</v>
      </c>
      <c r="H106">
        <v>5</v>
      </c>
      <c r="I106" s="4" t="s">
        <v>62</v>
      </c>
      <c r="J106" s="4">
        <v>1</v>
      </c>
      <c r="K106" t="s">
        <v>80</v>
      </c>
      <c r="L106" t="str">
        <f t="shared" si="27"/>
        <v>&lt;1</v>
      </c>
      <c r="M106" t="str">
        <f t="shared" si="26"/>
        <v>&gt;-1000000</v>
      </c>
      <c r="N106">
        <v>1E-06</v>
      </c>
      <c r="O106">
        <v>2</v>
      </c>
      <c r="R106" s="110" t="s">
        <v>160</v>
      </c>
      <c r="U106">
        <v>1</v>
      </c>
      <c r="V106" s="111" t="str">
        <f t="shared" si="25"/>
        <v>&lt;1</v>
      </c>
    </row>
    <row r="107" spans="4:22" ht="15">
      <c r="D107" t="s">
        <v>104</v>
      </c>
      <c r="E107">
        <v>12</v>
      </c>
      <c r="G107" t="s">
        <v>88</v>
      </c>
      <c r="H107">
        <v>5</v>
      </c>
      <c r="I107" s="4" t="s">
        <v>62</v>
      </c>
      <c r="J107" s="4">
        <v>1</v>
      </c>
      <c r="K107" t="s">
        <v>79</v>
      </c>
      <c r="L107" t="str">
        <f t="shared" si="27"/>
        <v>&lt;1</v>
      </c>
      <c r="M107" t="str">
        <f t="shared" si="26"/>
        <v>&gt;-1000000</v>
      </c>
      <c r="N107">
        <v>1E-06</v>
      </c>
      <c r="O107">
        <v>10</v>
      </c>
      <c r="R107" s="110" t="s">
        <v>157</v>
      </c>
      <c r="U107">
        <v>1</v>
      </c>
      <c r="V107" s="111" t="str">
        <f t="shared" si="25"/>
        <v>&lt;1</v>
      </c>
    </row>
    <row r="108" spans="4:22" ht="15">
      <c r="D108" t="s">
        <v>106</v>
      </c>
      <c r="E108">
        <v>14</v>
      </c>
      <c r="G108" t="s">
        <v>91</v>
      </c>
      <c r="H108">
        <v>4</v>
      </c>
      <c r="I108" s="4" t="s">
        <v>62</v>
      </c>
      <c r="J108" s="4">
        <v>1</v>
      </c>
      <c r="K108" t="s">
        <v>89</v>
      </c>
      <c r="L108" t="str">
        <f t="shared" si="27"/>
        <v>&lt;0.1</v>
      </c>
      <c r="M108" t="str">
        <f t="shared" si="26"/>
        <v>&gt;-1000000</v>
      </c>
      <c r="N108">
        <v>1E-06</v>
      </c>
      <c r="O108">
        <v>1000</v>
      </c>
      <c r="R108" s="110" t="s">
        <v>162</v>
      </c>
      <c r="U108">
        <v>0.1</v>
      </c>
      <c r="V108" s="111" t="str">
        <f t="shared" si="25"/>
        <v>&lt;0.1</v>
      </c>
    </row>
    <row r="109" spans="4:22" ht="15">
      <c r="D109" t="s">
        <v>105</v>
      </c>
      <c r="E109">
        <v>13</v>
      </c>
      <c r="G109" t="s">
        <v>90</v>
      </c>
      <c r="H109">
        <v>5</v>
      </c>
      <c r="I109" s="4" t="s">
        <v>62</v>
      </c>
      <c r="J109" s="4">
        <v>1</v>
      </c>
      <c r="K109" t="s">
        <v>89</v>
      </c>
      <c r="L109" t="str">
        <f t="shared" si="27"/>
        <v>&lt;0.05</v>
      </c>
      <c r="M109" t="str">
        <f t="shared" si="26"/>
        <v>&gt;-1000000</v>
      </c>
      <c r="N109">
        <v>1E-06</v>
      </c>
      <c r="O109">
        <v>1000</v>
      </c>
      <c r="R109" s="110" t="s">
        <v>163</v>
      </c>
      <c r="U109">
        <v>0.05</v>
      </c>
      <c r="V109" s="111" t="str">
        <f t="shared" si="25"/>
        <v>&lt;0.05</v>
      </c>
    </row>
    <row r="110" spans="4:22" ht="15">
      <c r="D110" t="s">
        <v>147</v>
      </c>
      <c r="E110">
        <v>16</v>
      </c>
      <c r="G110" t="s">
        <v>153</v>
      </c>
      <c r="H110">
        <v>2</v>
      </c>
      <c r="I110" t="s">
        <v>95</v>
      </c>
      <c r="J110" s="4">
        <v>0</v>
      </c>
      <c r="K110" s="4" t="s">
        <v>96</v>
      </c>
      <c r="L110" s="112" t="str">
        <f>CONCATENATE("&gt;",$J$34)</f>
        <v>&gt;-1000000</v>
      </c>
      <c r="M110" s="4" t="str">
        <f>V110</f>
        <v>&lt;0.5</v>
      </c>
      <c r="N110">
        <v>1E-06</v>
      </c>
      <c r="O110">
        <v>1000</v>
      </c>
      <c r="R110" s="110" t="s">
        <v>172</v>
      </c>
      <c r="U110">
        <v>0.5</v>
      </c>
      <c r="V110" s="111" t="str">
        <f t="shared" si="25"/>
        <v>&lt;0.5</v>
      </c>
    </row>
    <row r="111" spans="4:22" ht="15">
      <c r="D111" t="s">
        <v>148</v>
      </c>
      <c r="E111">
        <v>17</v>
      </c>
      <c r="G111" t="s">
        <v>154</v>
      </c>
      <c r="H111">
        <v>2</v>
      </c>
      <c r="I111" t="s">
        <v>95</v>
      </c>
      <c r="J111" s="4">
        <v>1</v>
      </c>
      <c r="K111" s="4" t="s">
        <v>96</v>
      </c>
      <c r="L111" s="112" t="str">
        <f>CONCATENATE("&gt;",$J$34)</f>
        <v>&gt;-1000000</v>
      </c>
      <c r="M111" s="4" t="str">
        <f>V111</f>
        <v>&lt;0.2</v>
      </c>
      <c r="N111">
        <v>1E-06</v>
      </c>
      <c r="O111">
        <v>1000</v>
      </c>
      <c r="R111" s="110" t="s">
        <v>166</v>
      </c>
      <c r="U111">
        <v>0.2</v>
      </c>
      <c r="V111" s="111" t="str">
        <f t="shared" si="25"/>
        <v>&lt;0.2</v>
      </c>
    </row>
    <row r="112" spans="4:22" ht="15">
      <c r="D112" t="s">
        <v>149</v>
      </c>
      <c r="E112">
        <v>18</v>
      </c>
      <c r="G112" t="s">
        <v>155</v>
      </c>
      <c r="H112">
        <v>2</v>
      </c>
      <c r="I112" t="s">
        <v>95</v>
      </c>
      <c r="J112" s="4">
        <v>2</v>
      </c>
      <c r="K112" s="4" t="s">
        <v>96</v>
      </c>
      <c r="L112" s="112" t="str">
        <f>CONCATENATE("&gt;",$J$34)</f>
        <v>&gt;-1000000</v>
      </c>
      <c r="M112" s="4" t="str">
        <f>V112</f>
        <v>&lt;5</v>
      </c>
      <c r="N112">
        <v>69</v>
      </c>
      <c r="O112">
        <v>690</v>
      </c>
      <c r="R112" s="110" t="s">
        <v>165</v>
      </c>
      <c r="U112">
        <v>5</v>
      </c>
      <c r="V112" s="111" t="str">
        <f t="shared" si="25"/>
        <v>&lt;5</v>
      </c>
    </row>
    <row r="113" spans="4:22" ht="15">
      <c r="D113" t="s">
        <v>150</v>
      </c>
      <c r="E113">
        <v>19</v>
      </c>
      <c r="G113" t="s">
        <v>151</v>
      </c>
      <c r="H113">
        <v>5</v>
      </c>
      <c r="I113" s="4" t="s">
        <v>62</v>
      </c>
      <c r="J113" s="4">
        <v>1</v>
      </c>
      <c r="K113" s="4" t="s">
        <v>152</v>
      </c>
      <c r="L113" t="str">
        <f>V113</f>
        <v>&lt;1</v>
      </c>
      <c r="M113" s="4" t="str">
        <f>CONCATENATE("&gt;",$J$34)</f>
        <v>&gt;-1000000</v>
      </c>
      <c r="N113">
        <v>1E-06</v>
      </c>
      <c r="O113">
        <v>35</v>
      </c>
      <c r="R113" s="110" t="s">
        <v>164</v>
      </c>
      <c r="U113">
        <v>1</v>
      </c>
      <c r="V113" s="111" t="str">
        <f t="shared" si="25"/>
        <v>&lt;1</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sheetProtection/>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2018-10-17T10:26:40Z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