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3450" windowHeight="4665" activeTab="0"/>
  </bookViews>
  <sheets>
    <sheet name="Инструкция" sheetId="1" r:id="rId1"/>
    <sheet name="Ввод данных и результаты" sheetId="2" r:id="rId2"/>
    <sheet name="Рабочий" sheetId="3" state="hidden" r:id="rId3"/>
  </sheets>
  <definedNames>
    <definedName name="_xlfn.BAHTTEXT" hidden="1">#NAME?</definedName>
    <definedName name="OLE_LINK1" localSheetId="0">'Инструкция'!$B$46</definedName>
  </definedNames>
  <calcPr fullCalcOnLoad="1"/>
</workbook>
</file>

<file path=xl/sharedStrings.xml><?xml version="1.0" encoding="utf-8"?>
<sst xmlns="http://schemas.openxmlformats.org/spreadsheetml/2006/main" count="238" uniqueCount="150">
  <si>
    <t>Log</t>
  </si>
  <si>
    <t>позиция х</t>
  </si>
  <si>
    <t>длина строки</t>
  </si>
  <si>
    <t>ОП сывороток, О.Е.</t>
  </si>
  <si>
    <t>общий Т4</t>
  </si>
  <si>
    <t>свободный Т3</t>
  </si>
  <si>
    <t>общий Т3</t>
  </si>
  <si>
    <t>свободный Т4</t>
  </si>
  <si>
    <t>A</t>
  </si>
  <si>
    <t>B</t>
  </si>
  <si>
    <t>C</t>
  </si>
  <si>
    <t>D</t>
  </si>
  <si>
    <t>E</t>
  </si>
  <si>
    <t>F</t>
  </si>
  <si>
    <t>G</t>
  </si>
  <si>
    <t>H</t>
  </si>
  <si>
    <t>выкинуть</t>
  </si>
  <si>
    <t>Оптическая плотность калибратора, О.Е.</t>
  </si>
  <si>
    <t>позиция х2</t>
  </si>
  <si>
    <t>проверка условия</t>
  </si>
  <si>
    <t>начало подстроки</t>
  </si>
  <si>
    <t>конец подстроки</t>
  </si>
  <si>
    <t>коэффициент</t>
  </si>
  <si>
    <t>позиция x5</t>
  </si>
  <si>
    <t>позиция x4</t>
  </si>
  <si>
    <t>позиция x3</t>
  </si>
  <si>
    <t>1.Выберите название тест-системы:</t>
  </si>
  <si>
    <t>2.Внесите значения ОП калибраторов:</t>
  </si>
  <si>
    <t>Файлы для обработки результатов количественных тест-систем</t>
  </si>
  <si>
    <t xml:space="preserve"> производства НПО «Диагностические системы»</t>
  </si>
  <si>
    <t>Общие сведения о продукте</t>
  </si>
  <si>
    <t>Установка файлов</t>
  </si>
  <si>
    <t>Возможные сбои в работе программы и способы их устранения</t>
  </si>
  <si>
    <t>Файлы реализованы в формате Microsoft Excel. Работа с ними осуществляется на компьютере с операционной системой Windows и установленным приложением MS Excel.</t>
  </si>
  <si>
    <r>
      <t>Файл</t>
    </r>
    <r>
      <rPr>
        <b/>
        <sz val="12"/>
        <rFont val="Times New Roman"/>
        <family val="1"/>
      </rPr>
      <t xml:space="preserve"> “Инструкция.doc” </t>
    </r>
    <r>
      <rPr>
        <sz val="12"/>
        <rFont val="Times New Roman"/>
        <family val="1"/>
      </rPr>
      <t>содержит электронный вариант инструкции.</t>
    </r>
  </si>
  <si>
    <t xml:space="preserve">1. Файлы рекомендуется скопировать на используемый компьютер. </t>
  </si>
  <si>
    <t xml:space="preserve">В случае нарушения  работы файлов вследствие изменения или удаления значений рабочих ячеек - необходимо заново скопировать файл. </t>
  </si>
  <si>
    <t>Также допустима работа с файлами непосредственно с CD-диска.</t>
  </si>
  <si>
    <r>
      <t xml:space="preserve">2. Для работы программы необходимо настроить в Excel с помощью меню   </t>
    </r>
    <r>
      <rPr>
        <sz val="12"/>
        <color indexed="12"/>
        <rFont val="Times New Roman"/>
        <family val="1"/>
      </rPr>
      <t>«Сервис»-&gt;«Макрос»-&gt;«Безопасность»</t>
    </r>
    <r>
      <rPr>
        <sz val="12"/>
        <rFont val="Times New Roman"/>
        <family val="1"/>
      </rPr>
      <t xml:space="preserve"> низкий уровень безопасности для макросов (рис.1).</t>
    </r>
  </si>
  <si>
    <t>При первом использовании файла после установки уровня безопасности необходимо закрыть файл и открыть его заново для включения макросов.</t>
  </si>
  <si>
    <t>Рис. 1</t>
  </si>
  <si>
    <t>Копирование данных в другие файлы Microsoft Excel</t>
  </si>
  <si>
    <t>Нарушения работы программы возможны в следующих случаях:</t>
  </si>
  <si>
    <r>
      <t>1. Отключены макросы.</t>
    </r>
    <r>
      <rPr>
        <sz val="12"/>
        <rFont val="Times New Roman"/>
        <family val="1"/>
      </rPr>
      <t xml:space="preserve"> Решение этой проблемы описано в разделе «Установка файлов», пункт 2.</t>
    </r>
  </si>
  <si>
    <r>
      <t>2. Замена или удаление значений рабочих ячеек.</t>
    </r>
    <r>
      <rPr>
        <sz val="12"/>
        <rFont val="Times New Roman"/>
        <family val="1"/>
      </rPr>
      <t xml:space="preserve"> В этом случае необходимо заново скопировать на компьютер файлы с диска.</t>
    </r>
  </si>
  <si>
    <t>Замечания и вопросы по работе с файлами  присылайте по адресу: ckd@npods.ru</t>
  </si>
  <si>
    <t>Рис.2</t>
  </si>
  <si>
    <t>Рис.3</t>
  </si>
  <si>
    <t>Рис.4</t>
  </si>
  <si>
    <t>При копировании данных в другие файлы или листы Microsoft Excel необходимо скопировать нужные ячейки и вставить только значения (рис.4Б) с помощью функции «Специальная вставка» (вызывается из меню правой кнопки мыши- рис.4А).</t>
  </si>
  <si>
    <t>СОДЕРЖАНИЕ</t>
  </si>
  <si>
    <t>Копирование данных в другие файлы Excel</t>
  </si>
  <si>
    <t>Значения для пересчета</t>
  </si>
  <si>
    <t>окончательный результат</t>
  </si>
  <si>
    <t>Номер тест-системы</t>
  </si>
  <si>
    <t>Логарифмирование ОП</t>
  </si>
  <si>
    <t xml:space="preserve">логарифмирование МЕ </t>
  </si>
  <si>
    <t>-</t>
  </si>
  <si>
    <t>нормы</t>
  </si>
  <si>
    <t xml:space="preserve">возможность самозаполнения </t>
  </si>
  <si>
    <t>и возврата исходных настроек</t>
  </si>
  <si>
    <t>тип кривой</t>
  </si>
  <si>
    <t>Вычитание 0</t>
  </si>
  <si>
    <t>вычитание 0</t>
  </si>
  <si>
    <t>ФСГ</t>
  </si>
  <si>
    <t>ЛГ</t>
  </si>
  <si>
    <t>ТТГ</t>
  </si>
  <si>
    <t>R2 = 1</t>
  </si>
  <si>
    <t xml:space="preserve">           </t>
  </si>
  <si>
    <t>название</t>
  </si>
  <si>
    <t>логарифмирование оп</t>
  </si>
  <si>
    <t>ед измерения</t>
  </si>
  <si>
    <t>мин</t>
  </si>
  <si>
    <t>макс</t>
  </si>
  <si>
    <t>текст</t>
  </si>
  <si>
    <t>МЕ/мл</t>
  </si>
  <si>
    <t>мМЕ/мл</t>
  </si>
  <si>
    <t>Т4-своб.</t>
  </si>
  <si>
    <t>пмоль/л</t>
  </si>
  <si>
    <t>мкМЕ/мл</t>
  </si>
  <si>
    <t>ХГч</t>
  </si>
  <si>
    <t>пролактина</t>
  </si>
  <si>
    <t>анти-ТГ</t>
  </si>
  <si>
    <t>анти-ТПО</t>
  </si>
  <si>
    <t>АФП</t>
  </si>
  <si>
    <t>нг/мл</t>
  </si>
  <si>
    <t>своб.ПСА</t>
  </si>
  <si>
    <t>общ.ПСА</t>
  </si>
  <si>
    <t>Т3-своб.</t>
  </si>
  <si>
    <t>Т3-общ.</t>
  </si>
  <si>
    <t>ТГ</t>
  </si>
  <si>
    <t>+</t>
  </si>
  <si>
    <t>нмоль/л</t>
  </si>
  <si>
    <t>Т4-общ.</t>
  </si>
  <si>
    <t>пг/мл</t>
  </si>
  <si>
    <t>ДС-ИФА-Тироид-Т4-свободный</t>
  </si>
  <si>
    <t>ДС-ИФА-Тироид-ТТГ</t>
  </si>
  <si>
    <t>ДС-ИФА-Пролактин</t>
  </si>
  <si>
    <t>ДС-ИФА-Тироид-анти-ТГ</t>
  </si>
  <si>
    <t>ДС-ИФА-Тироид-анти-ТПО</t>
  </si>
  <si>
    <t>ДС-ИФА-АФП</t>
  </si>
  <si>
    <t>ДС-ИФА-ПСА-свободный</t>
  </si>
  <si>
    <t>ДС-ИФА-ПСА-общий</t>
  </si>
  <si>
    <t>ДС-ИФА-Гонадотропин-ЛГ</t>
  </si>
  <si>
    <t>ДС-ИФА-Гонадотропин-ФСГ</t>
  </si>
  <si>
    <t>ДС-ИФА-Гонадотропин-ХГч</t>
  </si>
  <si>
    <t>ДС-ИФА-Тироид-ТГ</t>
  </si>
  <si>
    <t>ДС-ИФА-Тироид-Т4-общий</t>
  </si>
  <si>
    <t>ДС-ИФА-Тироид-Т3-свободный</t>
  </si>
  <si>
    <t>ДС-ИФА-Тироид-Т3-общий</t>
  </si>
  <si>
    <t>3.Внесите значения В0 в повторах:</t>
  </si>
  <si>
    <t>5.Внесите значения оптических плотностей сывороток в повторах:</t>
  </si>
  <si>
    <t>6. Значения концентрации маркера в образцах:</t>
  </si>
  <si>
    <t>R2 = 0,9997</t>
  </si>
  <si>
    <t>y = 58,454x2 - 139,92x + 86,89</t>
  </si>
  <si>
    <t>y = -5,4219x3 + 56,745x2 - 132,26x + 87,516</t>
  </si>
  <si>
    <t>y = -0,2019x5 - 4,0444x4 - 6,2753x3 + 63,807x2 - 131,74x + 86,368</t>
  </si>
  <si>
    <t>R2 = 0,8343</t>
  </si>
  <si>
    <t>y = 119,17x2 - 129,31x</t>
  </si>
  <si>
    <t>R2 = 0,8374</t>
  </si>
  <si>
    <t>y = 18,386x3 + 123,48x2 - 155,54x</t>
  </si>
  <si>
    <t>Определение концентраций гормонов и антител к гормонам</t>
  </si>
  <si>
    <t>Данные файлы предназначены для обработки результатов количественных иммуноферментных тест-систем производства НПО «Диагностические системы». Файлы автоматически рассчитывают концентрации гормонов и антител в исследуемых образцах.</t>
  </si>
  <si>
    <r>
      <t>Файл “</t>
    </r>
    <r>
      <rPr>
        <b/>
        <sz val="12"/>
        <rFont val="Times New Roman"/>
        <family val="1"/>
      </rPr>
      <t xml:space="preserve">Гормоны.xls “ </t>
    </r>
    <r>
      <rPr>
        <sz val="12"/>
        <rFont val="Times New Roman"/>
        <family val="1"/>
      </rPr>
      <t>используется</t>
    </r>
    <r>
      <rPr>
        <b/>
        <sz val="12"/>
        <rFont val="Times New Roman"/>
        <family val="1"/>
      </rPr>
      <t xml:space="preserve"> </t>
    </r>
    <r>
      <rPr>
        <sz val="12"/>
        <rFont val="Times New Roman"/>
        <family val="1"/>
      </rPr>
      <t>для обработки результатов следующих тест-систем:</t>
    </r>
  </si>
  <si>
    <t>"ДС-ИФА-Тироид-ТТГ"</t>
  </si>
  <si>
    <t>"ДС-ИФА-Тироид-Т4-свободный"</t>
  </si>
  <si>
    <t>"ДС-ИФА-Тироид-Т4-общий"</t>
  </si>
  <si>
    <t>"ДС-ИФА-Тироид-Т3-свободный"</t>
  </si>
  <si>
    <t>"ДС-ИФА-Тироид-Т3-общий"</t>
  </si>
  <si>
    <t>"ДС-ИФА-Тироид-анти-ТГ"</t>
  </si>
  <si>
    <t>"ДС-ИФА-Тироид-анти-ТПО"</t>
  </si>
  <si>
    <t>"ДС-ИФА-Тироид-ТГ"</t>
  </si>
  <si>
    <t>"ДС-ИФА-Гонадотропин-ЛГ"</t>
  </si>
  <si>
    <t>"ДС-ИФА-Гонадотропин-ФСГ"</t>
  </si>
  <si>
    <t>"ДС-ИФА-Пролактин"</t>
  </si>
  <si>
    <t>"ДС-ИФА-Гонадотропин-ХГч"</t>
  </si>
  <si>
    <t>"ДС-ИФА-АФП"</t>
  </si>
  <si>
    <t>"ДС-ИФА-ПСА-общий"</t>
  </si>
  <si>
    <t>"ДС-ИФА-ПСА-свободный"</t>
  </si>
  <si>
    <t>Каждый файл состоит из нескольких листов: на первом листе располагается инструкция по использованию, на листе «Ввод и обработка результатов», располагаются модули для обработки результатов тест-систем.</t>
  </si>
  <si>
    <t xml:space="preserve"> </t>
  </si>
  <si>
    <r>
      <t xml:space="preserve">Определение концентраций гормонов и антител к гормонам производится с помощью файла </t>
    </r>
    <r>
      <rPr>
        <b/>
        <sz val="12"/>
        <rFont val="Times New Roman"/>
        <family val="1"/>
      </rPr>
      <t>«Гормоны.xls»</t>
    </r>
  </si>
  <si>
    <r>
      <t xml:space="preserve">Определение концентрации гормонов или антител к гормонам следует проводить на листе </t>
    </r>
    <r>
      <rPr>
        <b/>
        <sz val="12"/>
        <rFont val="Times New Roman"/>
        <family val="1"/>
      </rPr>
      <t>«Ввод данных и результаты»</t>
    </r>
    <r>
      <rPr>
        <sz val="12"/>
        <color indexed="12"/>
        <rFont val="Times New Roman"/>
        <family val="1"/>
      </rPr>
      <t xml:space="preserve"> </t>
    </r>
    <r>
      <rPr>
        <sz val="12"/>
        <rFont val="Times New Roman"/>
        <family val="1"/>
      </rPr>
      <t>(рис.3А)  по следующему алгоритму:</t>
    </r>
  </si>
  <si>
    <t>2. Внесите указанные значения  концентрации гормонов (антител) в калибраторах  и значения ОП калибраторов (рис.3В) и значения нулевого калибратора в повторах (рис.3Г).</t>
  </si>
  <si>
    <t>3. Нажатием кнопки 4(рис.3Д)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гормонов (антител) для образцов автоматически обнуляются, и необходимо опять подбирать формулу нажатием кнопки.</t>
  </si>
  <si>
    <t>4. Внесите значения ОП исследуемых образцов вручную или вставьте, скопировав из другого файла или программы (рис.3Е).</t>
  </si>
  <si>
    <r>
      <t xml:space="preserve">При вставке данных обратите внимание, какой разделитель используется во вставляемых значениях (запятая или точка). Если разделитель отличается от разделителя используемого в вашей версии Excel, до внесения данных необходимо выбрать разделитель, используемый во вставляемых данных: зайдите в меню </t>
    </r>
    <r>
      <rPr>
        <sz val="12"/>
        <color indexed="12"/>
        <rFont val="Times New Roman"/>
        <family val="1"/>
      </rPr>
      <t xml:space="preserve">«Сервис»-&gt; «Параметры» (рис.2А), </t>
    </r>
    <r>
      <rPr>
        <i/>
        <sz val="12"/>
        <color indexed="10"/>
        <rFont val="Times New Roman"/>
        <family val="1"/>
      </rPr>
      <t xml:space="preserve">перейдите на вкладку </t>
    </r>
    <r>
      <rPr>
        <sz val="12"/>
        <color indexed="12"/>
        <rFont val="Times New Roman"/>
        <family val="1"/>
      </rPr>
      <t>«Международные»</t>
    </r>
    <r>
      <rPr>
        <i/>
        <sz val="12"/>
        <color indexed="10"/>
        <rFont val="Times New Roman"/>
        <family val="1"/>
      </rPr>
      <t xml:space="preserve">, отключите флажок </t>
    </r>
    <r>
      <rPr>
        <sz val="12"/>
        <color indexed="12"/>
        <rFont val="Times New Roman"/>
        <family val="1"/>
      </rPr>
      <t>«Использовать системные разделители» (рис.2Б)</t>
    </r>
    <r>
      <rPr>
        <i/>
        <sz val="12"/>
        <color indexed="10"/>
        <rFont val="Times New Roman"/>
        <family val="1"/>
      </rPr>
      <t xml:space="preserve"> и в окошке</t>
    </r>
    <r>
      <rPr>
        <sz val="12"/>
        <color indexed="12"/>
        <rFont val="Times New Roman"/>
        <family val="1"/>
      </rPr>
      <t xml:space="preserve"> «Разделитель дробной и целой части» (рис.2В)  </t>
    </r>
    <r>
      <rPr>
        <i/>
        <sz val="12"/>
        <color indexed="10"/>
        <rFont val="Times New Roman"/>
        <family val="1"/>
      </rPr>
      <t>укажите нужный знак.</t>
    </r>
    <r>
      <rPr>
        <sz val="12"/>
        <color indexed="8"/>
        <rFont val="Times New Roman"/>
        <family val="1"/>
      </rPr>
      <t xml:space="preserve"> </t>
    </r>
  </si>
  <si>
    <t>Инструкция по применению</t>
  </si>
  <si>
    <t>1. Выберите в выпадающем списке название тест-системы(рис.3Б).</t>
  </si>
  <si>
    <t>5. В нижней таблице представлены концентрации гормонов и антител в образцах(рис.3Ж). Зеленым цветом выделены образцы, с пониженным содержанием гормона или антител. Оранжевым цветом выделены образцы, с повышенным содержанием гормона или антител.</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</si>
</sst>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 numFmtId="169" formatCode="0.0000"/>
    <numFmt numFmtId="170" formatCode="0.000000"/>
    <numFmt numFmtId="171" formatCode="0.0"/>
    <numFmt numFmtId="172" formatCode="0.000"/>
    <numFmt numFmtId="173" formatCode="_-* #,##0.000_р_._-;\-* #,##0.000_р_._-;_-* &quot;-&quot;??_р_._-;_-@_-"/>
  </numFmts>
  <fonts count="24">
    <font>
      <sz val="10"/>
      <name val="Arial Cyr"/>
      <family val="0"/>
    </font>
    <font>
      <b/>
      <sz val="10"/>
      <name val="Arial Cyr"/>
      <family val="2"/>
    </font>
    <font>
      <sz val="5.75"/>
      <name val="Arial Cyr"/>
      <family val="0"/>
    </font>
    <font>
      <vertAlign val="superscript"/>
      <sz val="5.75"/>
      <name val="Arial Cyr"/>
      <family val="0"/>
    </font>
    <font>
      <sz val="5.5"/>
      <name val="Arial Cyr"/>
      <family val="0"/>
    </font>
    <font>
      <b/>
      <sz val="10"/>
      <color indexed="20"/>
      <name val="Arial Cyr"/>
      <family val="0"/>
    </font>
    <font>
      <b/>
      <sz val="14"/>
      <color indexed="20"/>
      <name val="Arial Cyr"/>
      <family val="0"/>
    </font>
    <font>
      <i/>
      <sz val="10"/>
      <color indexed="20"/>
      <name val="Arial Cyr"/>
      <family val="0"/>
    </font>
    <font>
      <u val="single"/>
      <sz val="10"/>
      <color indexed="12"/>
      <name val="Arial Cyr"/>
      <family val="0"/>
    </font>
    <font>
      <u val="single"/>
      <sz val="10"/>
      <color indexed="36"/>
      <name val="Arial Cyr"/>
      <family val="0"/>
    </font>
    <font>
      <sz val="12"/>
      <name val="Times New Roman"/>
      <family val="1"/>
    </font>
    <font>
      <sz val="12"/>
      <color indexed="12"/>
      <name val="Times New Roman"/>
      <family val="1"/>
    </font>
    <font>
      <b/>
      <sz val="12"/>
      <name val="Times New Roman"/>
      <family val="1"/>
    </font>
    <font>
      <b/>
      <sz val="11"/>
      <name val="Times New Roman"/>
      <family val="1"/>
    </font>
    <font>
      <i/>
      <sz val="12"/>
      <color indexed="10"/>
      <name val="Times New Roman"/>
      <family val="1"/>
    </font>
    <font>
      <sz val="8"/>
      <name val="Tahoma"/>
      <family val="2"/>
    </font>
    <font>
      <b/>
      <sz val="14"/>
      <name val="Times New Roman"/>
      <family val="1"/>
    </font>
    <font>
      <sz val="14"/>
      <name val="Times New Roman"/>
      <family val="1"/>
    </font>
    <font>
      <sz val="10"/>
      <color indexed="10"/>
      <name val="Arial Cyr"/>
      <family val="0"/>
    </font>
    <font>
      <sz val="8"/>
      <name val="Arial Cyr"/>
      <family val="0"/>
    </font>
    <font>
      <vertAlign val="superscript"/>
      <sz val="8"/>
      <name val="Arial Cyr"/>
      <family val="0"/>
    </font>
    <font>
      <b/>
      <sz val="10"/>
      <color indexed="9"/>
      <name val="Arial Cyr"/>
      <family val="0"/>
    </font>
    <font>
      <sz val="11"/>
      <name val="Times New Roman"/>
      <family val="1"/>
    </font>
    <font>
      <sz val="12"/>
      <color indexed="8"/>
      <name val="Times New Roman"/>
      <family val="1"/>
    </font>
  </fonts>
  <fills count="8">
    <fill>
      <patternFill/>
    </fill>
    <fill>
      <patternFill patternType="gray125"/>
    </fill>
    <fill>
      <patternFill patternType="solid">
        <fgColor indexed="13"/>
        <bgColor indexed="64"/>
      </patternFill>
    </fill>
    <fill>
      <patternFill patternType="solid">
        <fgColor indexed="14"/>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lightUp">
        <bgColor indexed="9"/>
      </patternFill>
    </fill>
  </fills>
  <borders count="22">
    <border>
      <left/>
      <right/>
      <top/>
      <bottom/>
      <diagonal/>
    </border>
    <border>
      <left style="medium"/>
      <right style="medium"/>
      <top style="medium"/>
      <bottom style="medium"/>
    </border>
    <border>
      <left style="thin"/>
      <right style="thin"/>
      <top style="thin"/>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slantDashDot">
        <color indexed="14"/>
      </right>
      <top style="slantDashDot">
        <color indexed="14"/>
      </top>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1">
    <xf numFmtId="0" fontId="0" fillId="0" borderId="0" xfId="0" applyAlignment="1">
      <alignment/>
    </xf>
    <xf numFmtId="0" fontId="0" fillId="0" borderId="1" xfId="0" applyBorder="1" applyAlignment="1">
      <alignment/>
    </xf>
    <xf numFmtId="168" fontId="0" fillId="0" borderId="0" xfId="0" applyNumberFormat="1" applyAlignment="1">
      <alignment/>
    </xf>
    <xf numFmtId="0" fontId="0" fillId="2" borderId="0" xfId="0" applyFill="1" applyAlignment="1">
      <alignment/>
    </xf>
    <xf numFmtId="0" fontId="0" fillId="0" borderId="0" xfId="0" applyFill="1" applyAlignment="1">
      <alignment/>
    </xf>
    <xf numFmtId="169" fontId="0" fillId="0" borderId="0" xfId="0" applyNumberFormat="1" applyAlignment="1">
      <alignment/>
    </xf>
    <xf numFmtId="170" fontId="0" fillId="0" borderId="0" xfId="0" applyNumberFormat="1" applyAlignment="1">
      <alignment/>
    </xf>
    <xf numFmtId="0" fontId="0" fillId="0" borderId="0" xfId="0" applyBorder="1" applyAlignment="1">
      <alignment/>
    </xf>
    <xf numFmtId="0" fontId="5" fillId="0" borderId="1" xfId="0" applyFont="1" applyBorder="1" applyAlignment="1">
      <alignment horizontal="center"/>
    </xf>
    <xf numFmtId="0" fontId="5" fillId="0" borderId="1" xfId="0" applyFont="1" applyBorder="1" applyAlignment="1">
      <alignment horizontal="right"/>
    </xf>
    <xf numFmtId="0" fontId="5" fillId="0" borderId="0" xfId="0" applyFont="1" applyAlignment="1">
      <alignment/>
    </xf>
    <xf numFmtId="0" fontId="0" fillId="0" borderId="0" xfId="0" applyFont="1" applyBorder="1" applyAlignment="1">
      <alignment wrapText="1"/>
    </xf>
    <xf numFmtId="0" fontId="6" fillId="0" borderId="0" xfId="0" applyFont="1" applyAlignment="1">
      <alignment/>
    </xf>
    <xf numFmtId="0" fontId="0" fillId="0" borderId="2" xfId="0" applyBorder="1" applyAlignment="1">
      <alignment horizontal="center"/>
    </xf>
    <xf numFmtId="0" fontId="5" fillId="0" borderId="0" xfId="0" applyFont="1" applyFill="1" applyBorder="1" applyAlignment="1">
      <alignment horizontal="center"/>
    </xf>
    <xf numFmtId="0" fontId="5" fillId="0" borderId="3" xfId="0" applyFont="1" applyBorder="1" applyAlignment="1">
      <alignment horizontal="right"/>
    </xf>
    <xf numFmtId="0" fontId="5" fillId="0" borderId="4" xfId="0" applyFont="1" applyBorder="1" applyAlignment="1">
      <alignment horizontal="center"/>
    </xf>
    <xf numFmtId="49" fontId="0" fillId="0" borderId="0" xfId="0" applyNumberFormat="1" applyAlignment="1">
      <alignment/>
    </xf>
    <xf numFmtId="0" fontId="10" fillId="0" borderId="0" xfId="0" applyFont="1" applyAlignment="1">
      <alignment/>
    </xf>
    <xf numFmtId="0" fontId="10" fillId="0" borderId="0" xfId="0" applyFont="1" applyAlignment="1">
      <alignment horizontal="left" indent="1"/>
    </xf>
    <xf numFmtId="0" fontId="10" fillId="0" borderId="0" xfId="0" applyFont="1" applyAlignment="1">
      <alignment horizontal="left" indent="2"/>
    </xf>
    <xf numFmtId="0" fontId="13" fillId="0" borderId="0" xfId="0" applyFont="1" applyAlignment="1">
      <alignment horizontal="center"/>
    </xf>
    <xf numFmtId="0" fontId="14" fillId="0" borderId="0" xfId="0" applyFont="1" applyAlignment="1">
      <alignment horizontal="left" indent="2"/>
    </xf>
    <xf numFmtId="0" fontId="13" fillId="0" borderId="0" xfId="0" applyFont="1" applyAlignment="1">
      <alignment horizontal="left" indent="2"/>
    </xf>
    <xf numFmtId="0" fontId="12" fillId="0" borderId="0" xfId="0" applyFont="1" applyAlignment="1">
      <alignment horizontal="center"/>
    </xf>
    <xf numFmtId="0" fontId="0" fillId="0" borderId="0" xfId="0" applyAlignment="1">
      <alignment wrapText="1"/>
    </xf>
    <xf numFmtId="0" fontId="5" fillId="0" borderId="0" xfId="0" applyFont="1" applyAlignment="1">
      <alignment wrapText="1"/>
    </xf>
    <xf numFmtId="171" fontId="0" fillId="0" borderId="1" xfId="0" applyNumberFormat="1" applyBorder="1" applyAlignment="1">
      <alignment horizontal="center"/>
    </xf>
    <xf numFmtId="0" fontId="16" fillId="0" borderId="0" xfId="0" applyFont="1" applyAlignment="1">
      <alignment horizontal="center" wrapText="1"/>
    </xf>
    <xf numFmtId="0" fontId="10" fillId="0" borderId="0" xfId="0" applyFont="1" applyAlignment="1">
      <alignment horizontal="center" wrapText="1"/>
    </xf>
    <xf numFmtId="0" fontId="12" fillId="0" borderId="0" xfId="0" applyFont="1" applyAlignment="1">
      <alignment horizontal="center" wrapText="1"/>
    </xf>
    <xf numFmtId="0" fontId="10" fillId="0" borderId="0" xfId="0" applyFont="1" applyAlignment="1">
      <alignment wrapText="1"/>
    </xf>
    <xf numFmtId="0" fontId="17" fillId="0" borderId="0" xfId="0" applyFont="1" applyAlignment="1">
      <alignment horizontal="center" wrapText="1"/>
    </xf>
    <xf numFmtId="0" fontId="10" fillId="0" borderId="0" xfId="0" applyFont="1" applyAlignment="1">
      <alignment horizontal="left" wrapText="1"/>
    </xf>
    <xf numFmtId="0" fontId="12" fillId="0" borderId="0" xfId="0" applyFont="1" applyAlignment="1">
      <alignment horizontal="left" wrapText="1"/>
    </xf>
    <xf numFmtId="0" fontId="13" fillId="0" borderId="0" xfId="0" applyFont="1" applyAlignment="1">
      <alignment horizontal="center" wrapText="1"/>
    </xf>
    <xf numFmtId="0" fontId="14" fillId="0" borderId="0" xfId="0" applyFont="1" applyAlignment="1">
      <alignment wrapText="1"/>
    </xf>
    <xf numFmtId="0" fontId="12" fillId="0" borderId="0" xfId="0" applyFont="1" applyAlignment="1">
      <alignment wrapText="1"/>
    </xf>
    <xf numFmtId="0" fontId="16" fillId="0" borderId="0" xfId="0" applyFont="1" applyAlignment="1">
      <alignment horizontal="left" indent="2"/>
    </xf>
    <xf numFmtId="0" fontId="0" fillId="0" borderId="2" xfId="0" applyBorder="1" applyAlignment="1">
      <alignment/>
    </xf>
    <xf numFmtId="0" fontId="0" fillId="0" borderId="5" xfId="0" applyBorder="1" applyAlignment="1">
      <alignment/>
    </xf>
    <xf numFmtId="0" fontId="5" fillId="0" borderId="5" xfId="0" applyFont="1" applyBorder="1" applyAlignment="1">
      <alignment horizontal="center"/>
    </xf>
    <xf numFmtId="0" fontId="1" fillId="0" borderId="0" xfId="0" applyFont="1" applyBorder="1" applyAlignment="1">
      <alignment wrapText="1"/>
    </xf>
    <xf numFmtId="0" fontId="0" fillId="3" borderId="0" xfId="0" applyFill="1" applyAlignment="1">
      <alignment/>
    </xf>
    <xf numFmtId="0" fontId="0" fillId="4" borderId="6" xfId="0" applyFill="1" applyBorder="1" applyAlignment="1">
      <alignment/>
    </xf>
    <xf numFmtId="0" fontId="0" fillId="4" borderId="7" xfId="0" applyFill="1" applyBorder="1" applyAlignment="1">
      <alignment/>
    </xf>
    <xf numFmtId="0" fontId="0" fillId="4" borderId="8" xfId="0" applyFill="1" applyBorder="1" applyAlignment="1">
      <alignment/>
    </xf>
    <xf numFmtId="0" fontId="0" fillId="4" borderId="9" xfId="0" applyFill="1" applyBorder="1" applyAlignment="1">
      <alignment/>
    </xf>
    <xf numFmtId="0" fontId="0" fillId="4" borderId="0" xfId="0" applyFill="1" applyBorder="1" applyAlignment="1">
      <alignment/>
    </xf>
    <xf numFmtId="0" fontId="0" fillId="4" borderId="10" xfId="0" applyFill="1" applyBorder="1" applyAlignment="1">
      <alignment/>
    </xf>
    <xf numFmtId="0" fontId="0" fillId="4" borderId="0" xfId="0" applyFont="1" applyFill="1" applyBorder="1" applyAlignment="1">
      <alignment/>
    </xf>
    <xf numFmtId="0" fontId="0" fillId="4" borderId="11" xfId="0" applyFill="1" applyBorder="1" applyAlignment="1">
      <alignment/>
    </xf>
    <xf numFmtId="0" fontId="0" fillId="4" borderId="12" xfId="0" applyFill="1" applyBorder="1" applyAlignment="1">
      <alignment/>
    </xf>
    <xf numFmtId="0" fontId="0" fillId="4" borderId="13" xfId="0" applyFill="1" applyBorder="1" applyAlignment="1">
      <alignment/>
    </xf>
    <xf numFmtId="0" fontId="0" fillId="5" borderId="6" xfId="0" applyFill="1" applyBorder="1" applyAlignment="1">
      <alignment/>
    </xf>
    <xf numFmtId="0" fontId="0" fillId="5" borderId="7" xfId="0" applyFill="1" applyBorder="1" applyAlignment="1">
      <alignment/>
    </xf>
    <xf numFmtId="0" fontId="0" fillId="5" borderId="8" xfId="0" applyFill="1" applyBorder="1" applyAlignment="1">
      <alignment/>
    </xf>
    <xf numFmtId="0" fontId="0" fillId="5" borderId="9" xfId="0" applyFill="1" applyBorder="1" applyAlignment="1">
      <alignment/>
    </xf>
    <xf numFmtId="0" fontId="0" fillId="5" borderId="0" xfId="0" applyFill="1" applyBorder="1" applyAlignment="1">
      <alignment/>
    </xf>
    <xf numFmtId="0" fontId="0" fillId="5" borderId="10" xfId="0" applyFill="1" applyBorder="1" applyAlignment="1">
      <alignment/>
    </xf>
    <xf numFmtId="0" fontId="0" fillId="5" borderId="11" xfId="0" applyFill="1" applyBorder="1" applyAlignment="1">
      <alignment/>
    </xf>
    <xf numFmtId="0" fontId="0" fillId="5" borderId="12" xfId="0" applyFill="1" applyBorder="1" applyAlignment="1">
      <alignment/>
    </xf>
    <xf numFmtId="0" fontId="0" fillId="5" borderId="13" xfId="0" applyFill="1" applyBorder="1" applyAlignment="1">
      <alignment/>
    </xf>
    <xf numFmtId="0" fontId="18" fillId="0" borderId="0" xfId="0" applyFont="1" applyAlignment="1">
      <alignment/>
    </xf>
    <xf numFmtId="0" fontId="1" fillId="0" borderId="1" xfId="0" applyFont="1" applyBorder="1" applyAlignment="1">
      <alignment horizontal="center" vertical="center" wrapText="1"/>
    </xf>
    <xf numFmtId="0" fontId="0" fillId="0" borderId="1" xfId="0" applyBorder="1" applyAlignment="1">
      <alignment horizontal="center"/>
    </xf>
    <xf numFmtId="0" fontId="5"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5" fillId="0" borderId="0" xfId="0" applyFont="1" applyFill="1" applyBorder="1" applyAlignment="1">
      <alignment horizontal="right"/>
    </xf>
    <xf numFmtId="172" fontId="0" fillId="0" borderId="0" xfId="0" applyNumberFormat="1" applyBorder="1" applyAlignment="1">
      <alignment horizontal="center"/>
    </xf>
    <xf numFmtId="0" fontId="1" fillId="0" borderId="0" xfId="0" applyFont="1" applyBorder="1" applyAlignment="1">
      <alignment/>
    </xf>
    <xf numFmtId="0" fontId="0" fillId="5" borderId="0" xfId="0" applyFill="1" applyAlignment="1">
      <alignment/>
    </xf>
    <xf numFmtId="0" fontId="0" fillId="6" borderId="0" xfId="0" applyFill="1" applyAlignment="1">
      <alignment/>
    </xf>
    <xf numFmtId="0" fontId="1" fillId="0" borderId="0" xfId="0" applyNumberFormat="1" applyFont="1" applyAlignment="1">
      <alignment/>
    </xf>
    <xf numFmtId="0" fontId="0" fillId="0" borderId="14" xfId="0" applyFont="1" applyBorder="1" applyAlignment="1">
      <alignment/>
    </xf>
    <xf numFmtId="0" fontId="0" fillId="0" borderId="1" xfId="0" applyBorder="1" applyAlignment="1" applyProtection="1">
      <alignment/>
      <protection hidden="1"/>
    </xf>
    <xf numFmtId="0" fontId="5" fillId="0" borderId="1" xfId="0" applyFont="1" applyBorder="1" applyAlignment="1" applyProtection="1">
      <alignment horizontal="center"/>
      <protection hidden="1"/>
    </xf>
    <xf numFmtId="0" fontId="5" fillId="0" borderId="1" xfId="0" applyFont="1" applyBorder="1" applyAlignment="1" applyProtection="1">
      <alignment horizontal="right"/>
      <protection hidden="1"/>
    </xf>
    <xf numFmtId="2" fontId="0" fillId="0" borderId="1" xfId="0" applyNumberFormat="1" applyBorder="1" applyAlignment="1" applyProtection="1">
      <alignment horizontal="center"/>
      <protection hidden="1"/>
    </xf>
    <xf numFmtId="172" fontId="0" fillId="0" borderId="0"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2" fontId="0" fillId="7" borderId="4" xfId="0" applyNumberFormat="1" applyFill="1" applyBorder="1" applyAlignment="1" applyProtection="1">
      <alignment horizontal="center"/>
      <protection hidden="1"/>
    </xf>
    <xf numFmtId="2" fontId="0" fillId="7" borderId="18" xfId="0" applyNumberFormat="1" applyFill="1" applyBorder="1" applyAlignment="1" applyProtection="1">
      <alignment horizontal="center"/>
      <protection hidden="1"/>
    </xf>
    <xf numFmtId="2" fontId="0" fillId="7" borderId="5" xfId="0" applyNumberFormat="1" applyFill="1" applyBorder="1" applyAlignment="1" applyProtection="1">
      <alignment horizontal="center"/>
      <protection hidden="1"/>
    </xf>
    <xf numFmtId="0" fontId="5" fillId="0" borderId="6" xfId="0" applyFont="1" applyBorder="1" applyAlignment="1">
      <alignment horizontal="center"/>
    </xf>
    <xf numFmtId="0" fontId="5" fillId="0" borderId="3" xfId="0" applyFont="1" applyBorder="1" applyAlignment="1" applyProtection="1">
      <alignment horizontal="center"/>
      <protection hidden="1"/>
    </xf>
    <xf numFmtId="2" fontId="0" fillId="7" borderId="6" xfId="0" applyNumberFormat="1" applyFill="1" applyBorder="1" applyAlignment="1" applyProtection="1">
      <alignment horizontal="center"/>
      <protection hidden="1"/>
    </xf>
    <xf numFmtId="2" fontId="0" fillId="7" borderId="9" xfId="0" applyNumberFormat="1" applyFill="1" applyBorder="1" applyAlignment="1" applyProtection="1">
      <alignment horizontal="center"/>
      <protection hidden="1"/>
    </xf>
    <xf numFmtId="0" fontId="0" fillId="0" borderId="9" xfId="0" applyBorder="1" applyAlignment="1">
      <alignment/>
    </xf>
    <xf numFmtId="2" fontId="0" fillId="7" borderId="11" xfId="0" applyNumberFormat="1" applyFill="1" applyBorder="1" applyAlignment="1" applyProtection="1">
      <alignment horizontal="center"/>
      <protection hidden="1"/>
    </xf>
    <xf numFmtId="2" fontId="0" fillId="0" borderId="9" xfId="0" applyNumberFormat="1" applyBorder="1" applyAlignment="1">
      <alignment horizontal="center"/>
    </xf>
    <xf numFmtId="172" fontId="0" fillId="0" borderId="0" xfId="0" applyNumberFormat="1" applyFill="1" applyBorder="1" applyAlignment="1">
      <alignment horizontal="center"/>
    </xf>
    <xf numFmtId="0" fontId="0" fillId="0" borderId="19" xfId="0" applyBorder="1" applyAlignment="1">
      <alignment/>
    </xf>
    <xf numFmtId="0" fontId="1" fillId="0" borderId="1"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1" xfId="0" applyBorder="1" applyAlignment="1" applyProtection="1">
      <alignment horizontal="center"/>
      <protection/>
    </xf>
    <xf numFmtId="0" fontId="1" fillId="0" borderId="1" xfId="0" applyFont="1" applyBorder="1" applyAlignment="1">
      <alignment horizontal="center"/>
    </xf>
    <xf numFmtId="0" fontId="21" fillId="0" borderId="0" xfId="0" applyFont="1" applyBorder="1" applyAlignment="1">
      <alignment/>
    </xf>
    <xf numFmtId="0" fontId="22" fillId="0" borderId="0" xfId="0" applyFont="1" applyAlignment="1">
      <alignment horizontal="center" wrapText="1"/>
    </xf>
    <xf numFmtId="0" fontId="13" fillId="0" borderId="0" xfId="0" applyFont="1" applyAlignment="1">
      <alignment wrapText="1"/>
    </xf>
    <xf numFmtId="0" fontId="8" fillId="0" borderId="0" xfId="15" applyAlignment="1">
      <alignment wrapText="1"/>
    </xf>
    <xf numFmtId="0" fontId="1" fillId="0" borderId="1" xfId="0" applyFont="1" applyFill="1" applyBorder="1" applyAlignment="1">
      <alignment horizontal="center"/>
    </xf>
    <xf numFmtId="0" fontId="1" fillId="0" borderId="3" xfId="0" applyFont="1" applyFill="1" applyBorder="1" applyAlignment="1">
      <alignment horizontal="center"/>
    </xf>
    <xf numFmtId="0" fontId="1" fillId="0" borderId="3" xfId="0" applyFont="1" applyFill="1" applyBorder="1" applyAlignment="1" applyProtection="1">
      <alignment horizontal="center"/>
      <protection hidden="1"/>
    </xf>
    <xf numFmtId="0" fontId="1" fillId="0" borderId="20" xfId="0" applyFont="1" applyFill="1" applyBorder="1" applyAlignment="1" applyProtection="1">
      <alignment horizontal="center"/>
      <protection hidden="1"/>
    </xf>
    <xf numFmtId="0" fontId="1" fillId="0" borderId="3" xfId="0" applyFont="1" applyBorder="1" applyAlignment="1">
      <alignment horizontal="center" vertical="center" wrapText="1"/>
    </xf>
    <xf numFmtId="0" fontId="1" fillId="0" borderId="21"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2">
    <dxf>
      <fill>
        <patternFill>
          <bgColor rgb="FFCCFFCC"/>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0"/>
            <c:dispRSqr val="1"/>
            <c:trendlineLbl>
              <c:layout>
                <c:manualLayout>
                  <c:x val="0"/>
                  <c:y val="0"/>
                </c:manualLayout>
              </c:layout>
              <c:numFmt formatCode="General"/>
            </c:trendlineLbl>
          </c:trendline>
          <c:xVal>
            <c:numRef>
              <c:f>Рабочий!$C$20:$C$31</c:f>
              <c:numCache/>
            </c:numRef>
          </c:xVal>
          <c:yVal>
            <c:numRef>
              <c:f>Рабочий!$D$20:$D$31</c:f>
              <c:numCache/>
            </c:numRef>
          </c:yVal>
          <c:smooth val="1"/>
        </c:ser>
        <c:axId val="14833084"/>
        <c:axId val="45076061"/>
      </c:scatterChart>
      <c:valAx>
        <c:axId val="14833084"/>
        <c:scaling>
          <c:orientation val="minMax"/>
        </c:scaling>
        <c:axPos val="b"/>
        <c:delete val="0"/>
        <c:numFmt formatCode="General" sourceLinked="1"/>
        <c:majorTickMark val="out"/>
        <c:minorTickMark val="none"/>
        <c:tickLblPos val="nextTo"/>
        <c:crossAx val="45076061"/>
        <c:crosses val="autoZero"/>
        <c:crossBetween val="midCat"/>
        <c:dispUnits/>
      </c:valAx>
      <c:valAx>
        <c:axId val="45076061"/>
        <c:scaling>
          <c:orientation val="minMax"/>
        </c:scaling>
        <c:axPos val="l"/>
        <c:majorGridlines/>
        <c:delete val="0"/>
        <c:numFmt formatCode="General" sourceLinked="1"/>
        <c:majorTickMark val="out"/>
        <c:minorTickMark val="none"/>
        <c:tickLblPos val="nextTo"/>
        <c:crossAx val="1483308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58"/>
          <c:w val="0.908"/>
          <c:h val="0.92"/>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0"/>
            <c:trendlineLbl>
              <c:layout>
                <c:manualLayout>
                  <c:x val="0"/>
                  <c:y val="0"/>
                </c:manualLayout>
              </c:layout>
              <c:numFmt formatCode="General"/>
            </c:trendlineLbl>
          </c:trendline>
          <c:xVal>
            <c:numRef>
              <c:f>Рабочий!$C$20:$C$31</c:f>
              <c:numCache/>
            </c:numRef>
          </c:xVal>
          <c:yVal>
            <c:numRef>
              <c:f>Рабочий!$D$20:$D$31</c:f>
              <c:numCache/>
            </c:numRef>
          </c:yVal>
          <c:smooth val="1"/>
        </c:ser>
        <c:ser>
          <c:idx val="0"/>
          <c:order val="1"/>
          <c:extLst>
            <c:ext xmlns:c14="http://schemas.microsoft.com/office/drawing/2007/8/2/chart" uri="{6F2FDCE9-48DA-4B69-8628-5D25D57E5C99}">
              <c14:invertSolidFillFmt>
                <c14:spPr>
                  <a:solidFill>
                    <a:srgbClr val="000000"/>
                  </a:solidFill>
                </c14:spPr>
              </c14:invertSolidFillFmt>
            </c:ext>
          </c:extLst>
          <c:marker>
            <c:symbol val="square"/>
          </c:marker>
          <c:xVal>
            <c:numRef>
              <c:f>Рабочий!$C$20:$C$31</c:f>
              <c:numCache/>
            </c:numRef>
          </c:xVal>
          <c:yVal>
            <c:numRef>
              <c:f>Рабочий!$D$20:$D$31</c:f>
              <c:numCache/>
            </c:numRef>
          </c:yVal>
          <c:smooth val="1"/>
        </c:ser>
        <c:axId val="26003622"/>
        <c:axId val="32620983"/>
      </c:scatterChart>
      <c:valAx>
        <c:axId val="26003622"/>
        <c:scaling>
          <c:orientation val="minMax"/>
        </c:scaling>
        <c:axPos val="b"/>
        <c:delete val="0"/>
        <c:numFmt formatCode="General" sourceLinked="1"/>
        <c:majorTickMark val="out"/>
        <c:minorTickMark val="none"/>
        <c:tickLblPos val="nextTo"/>
        <c:crossAx val="32620983"/>
        <c:crosses val="autoZero"/>
        <c:crossBetween val="midCat"/>
        <c:dispUnits/>
      </c:valAx>
      <c:valAx>
        <c:axId val="32620983"/>
        <c:scaling>
          <c:orientation val="minMax"/>
        </c:scaling>
        <c:axPos val="l"/>
        <c:majorGridlines/>
        <c:delete val="0"/>
        <c:numFmt formatCode="General" sourceLinked="1"/>
        <c:majorTickMark val="out"/>
        <c:minorTickMark val="none"/>
        <c:tickLblPos val="nextTo"/>
        <c:crossAx val="2600362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0"/>
            <c:trendlineLbl>
              <c:layout>
                <c:manualLayout>
                  <c:x val="0"/>
                  <c:y val="0"/>
                </c:manualLayout>
              </c:layout>
              <c:numFmt formatCode="General"/>
            </c:trendlineLbl>
          </c:trendline>
          <c:xVal>
            <c:numRef>
              <c:f>Рабочий!$C$20:$C$31</c:f>
              <c:numCache/>
            </c:numRef>
          </c:xVal>
          <c:yVal>
            <c:numRef>
              <c:f>Рабочий!$D$20:$D$31</c:f>
              <c:numCache/>
            </c:numRef>
          </c:yVal>
          <c:smooth val="1"/>
        </c:ser>
        <c:axId val="52346454"/>
        <c:axId val="28322791"/>
      </c:scatterChart>
      <c:valAx>
        <c:axId val="52346454"/>
        <c:scaling>
          <c:orientation val="minMax"/>
        </c:scaling>
        <c:axPos val="b"/>
        <c:delete val="0"/>
        <c:numFmt formatCode="General" sourceLinked="1"/>
        <c:majorTickMark val="out"/>
        <c:minorTickMark val="none"/>
        <c:tickLblPos val="nextTo"/>
        <c:crossAx val="28322791"/>
        <c:crosses val="autoZero"/>
        <c:crossBetween val="midCat"/>
        <c:dispUnits/>
      </c:valAx>
      <c:valAx>
        <c:axId val="28322791"/>
        <c:scaling>
          <c:orientation val="minMax"/>
        </c:scaling>
        <c:axPos val="l"/>
        <c:majorGridlines/>
        <c:delete val="0"/>
        <c:numFmt formatCode="General" sourceLinked="1"/>
        <c:majorTickMark val="out"/>
        <c:minorTickMark val="none"/>
        <c:tickLblPos val="nextTo"/>
        <c:crossAx val="5234645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50" b="0" i="0" u="none" baseline="0">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0"/>
            <c:dispRSqr val="1"/>
            <c:trendlineLbl>
              <c:layout>
                <c:manualLayout>
                  <c:x val="0"/>
                  <c:y val="0"/>
                </c:manualLayout>
              </c:layout>
              <c:numFmt formatCode="General"/>
            </c:trendlineLbl>
          </c:trendline>
          <c:xVal>
            <c:numRef>
              <c:f>Рабочий!$C$20:$C$31</c:f>
              <c:numCache/>
            </c:numRef>
          </c:xVal>
          <c:yVal>
            <c:numRef>
              <c:f>Рабочий!$D$20:$D$31</c:f>
              <c:numCache/>
            </c:numRef>
          </c:yVal>
          <c:smooth val="1"/>
        </c:ser>
        <c:axId val="37700432"/>
        <c:axId val="67004113"/>
      </c:scatterChart>
      <c:valAx>
        <c:axId val="37700432"/>
        <c:scaling>
          <c:orientation val="minMax"/>
        </c:scaling>
        <c:axPos val="b"/>
        <c:delete val="0"/>
        <c:numFmt formatCode="General" sourceLinked="1"/>
        <c:majorTickMark val="out"/>
        <c:minorTickMark val="none"/>
        <c:tickLblPos val="nextTo"/>
        <c:crossAx val="67004113"/>
        <c:crosses val="autoZero"/>
        <c:crossBetween val="midCat"/>
        <c:dispUnits/>
      </c:valAx>
      <c:valAx>
        <c:axId val="67004113"/>
        <c:scaling>
          <c:orientation val="minMax"/>
        </c:scaling>
        <c:axPos val="l"/>
        <c:majorGridlines/>
        <c:delete val="0"/>
        <c:numFmt formatCode="General" sourceLinked="1"/>
        <c:majorTickMark val="out"/>
        <c:minorTickMark val="none"/>
        <c:tickLblPos val="nextTo"/>
        <c:crossAx val="3770043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
          <c:w val="0.91625"/>
          <c:h val="0.916"/>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5"/>
            <c:dispEq val="0"/>
            <c:dispRSqr val="1"/>
            <c:trendlineLbl>
              <c:layout>
                <c:manualLayout>
                  <c:x val="0"/>
                  <c:y val="0"/>
                </c:manualLayout>
              </c:layout>
              <c:numFmt formatCode="General"/>
            </c:trendlineLbl>
          </c:trendline>
          <c:xVal>
            <c:numRef>
              <c:f>Рабочий!$C$20:$C$31</c:f>
              <c:numCache/>
            </c:numRef>
          </c:xVal>
          <c:yVal>
            <c:numRef>
              <c:f>Рабочий!$D$20:$D$31</c:f>
              <c:numCache/>
            </c:numRef>
          </c:yVal>
          <c:smooth val="1"/>
        </c:ser>
        <c:axId val="57786026"/>
        <c:axId val="42682651"/>
      </c:scatterChart>
      <c:valAx>
        <c:axId val="57786026"/>
        <c:scaling>
          <c:orientation val="minMax"/>
        </c:scaling>
        <c:axPos val="b"/>
        <c:delete val="0"/>
        <c:numFmt formatCode="General" sourceLinked="1"/>
        <c:majorTickMark val="out"/>
        <c:minorTickMark val="none"/>
        <c:tickLblPos val="nextTo"/>
        <c:crossAx val="42682651"/>
        <c:crosses val="autoZero"/>
        <c:crossBetween val="midCat"/>
        <c:dispUnits/>
      </c:valAx>
      <c:valAx>
        <c:axId val="42682651"/>
        <c:scaling>
          <c:orientation val="minMax"/>
        </c:scaling>
        <c:axPos val="l"/>
        <c:majorGridlines/>
        <c:delete val="0"/>
        <c:numFmt formatCode="General" sourceLinked="1"/>
        <c:majorTickMark val="out"/>
        <c:minorTickMark val="none"/>
        <c:tickLblPos val="nextTo"/>
        <c:crossAx val="5778602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4425"/>
          <c:w val="0.90825"/>
          <c:h val="0.92"/>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0"/>
            <c:trendlineLbl>
              <c:layout>
                <c:manualLayout>
                  <c:x val="0"/>
                  <c:y val="0"/>
                </c:manualLayout>
              </c:layout>
              <c:numFmt formatCode="General"/>
            </c:trendlineLbl>
          </c:trendline>
          <c:xVal>
            <c:numRef>
              <c:f>Рабочий!$C$20:$C$31</c:f>
              <c:numCache/>
            </c:numRef>
          </c:xVal>
          <c:yVal>
            <c:numRef>
              <c:f>Рабочий!$D$20:$D$31</c:f>
              <c:numCache/>
            </c:numRef>
          </c:yVal>
          <c:smooth val="1"/>
        </c:ser>
        <c:ser>
          <c:idx val="0"/>
          <c:order val="1"/>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poly"/>
            <c:order val="3"/>
            <c:dispEq val="1"/>
            <c:dispRSqr val="0"/>
            <c:trendlineLbl>
              <c:layout>
                <c:manualLayout>
                  <c:x val="0"/>
                  <c:y val="0"/>
                </c:manualLayout>
              </c:layout>
              <c:numFmt formatCode="General"/>
            </c:trendlineLbl>
          </c:trendline>
          <c:xVal>
            <c:numRef>
              <c:f>Рабочий!$C$20:$C$31</c:f>
              <c:numCache/>
            </c:numRef>
          </c:xVal>
          <c:yVal>
            <c:numRef>
              <c:f>Рабочий!$D$20:$D$31</c:f>
              <c:numCache/>
            </c:numRef>
          </c:yVal>
          <c:smooth val="1"/>
        </c:ser>
        <c:axId val="40659556"/>
        <c:axId val="61930693"/>
      </c:scatterChart>
      <c:valAx>
        <c:axId val="40659556"/>
        <c:scaling>
          <c:orientation val="minMax"/>
        </c:scaling>
        <c:axPos val="b"/>
        <c:delete val="0"/>
        <c:numFmt formatCode="General" sourceLinked="1"/>
        <c:majorTickMark val="out"/>
        <c:minorTickMark val="none"/>
        <c:tickLblPos val="nextTo"/>
        <c:crossAx val="61930693"/>
        <c:crosses val="autoZero"/>
        <c:crossBetween val="midCat"/>
        <c:dispUnits/>
      </c:valAx>
      <c:valAx>
        <c:axId val="61930693"/>
        <c:scaling>
          <c:orientation val="minMax"/>
        </c:scaling>
        <c:axPos val="l"/>
        <c:majorGridlines/>
        <c:delete val="0"/>
        <c:numFmt formatCode="General" sourceLinked="1"/>
        <c:majorTickMark val="out"/>
        <c:minorTickMark val="none"/>
        <c:tickLblPos val="nextTo"/>
        <c:crossAx val="4065955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8"/>
          <c:w val="0.91525"/>
          <c:h val="0.92"/>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5"/>
            <c:dispEq val="1"/>
            <c:dispRSqr val="0"/>
            <c:trendlineLbl>
              <c:layout>
                <c:manualLayout>
                  <c:x val="0"/>
                  <c:y val="0"/>
                </c:manualLayout>
              </c:layout>
              <c:numFmt formatCode="General"/>
            </c:trendlineLbl>
          </c:trendline>
          <c:xVal>
            <c:numRef>
              <c:f>Рабочий!$C$20:$C$31</c:f>
              <c:numCache/>
            </c:numRef>
          </c:xVal>
          <c:yVal>
            <c:numRef>
              <c:f>Рабочий!$D$20:$D$31</c:f>
              <c:numCache/>
            </c:numRef>
          </c:yVal>
          <c:smooth val="1"/>
        </c:ser>
        <c:axId val="8904830"/>
        <c:axId val="54332367"/>
      </c:scatterChart>
      <c:valAx>
        <c:axId val="8904830"/>
        <c:scaling>
          <c:orientation val="minMax"/>
        </c:scaling>
        <c:axPos val="b"/>
        <c:delete val="0"/>
        <c:numFmt formatCode="General" sourceLinked="1"/>
        <c:majorTickMark val="out"/>
        <c:minorTickMark val="none"/>
        <c:tickLblPos val="nextTo"/>
        <c:crossAx val="54332367"/>
        <c:crosses val="autoZero"/>
        <c:crossBetween val="midCat"/>
        <c:dispUnits/>
      </c:valAx>
      <c:valAx>
        <c:axId val="54332367"/>
        <c:scaling>
          <c:orientation val="minMax"/>
        </c:scaling>
        <c:axPos val="l"/>
        <c:majorGridlines/>
        <c:delete val="0"/>
        <c:numFmt formatCode="General" sourceLinked="1"/>
        <c:majorTickMark val="out"/>
        <c:minorTickMark val="none"/>
        <c:tickLblPos val="nextTo"/>
        <c:crossAx val="890483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0"/>
            <c:dispRSqr val="1"/>
            <c:trendlineLbl>
              <c:layout>
                <c:manualLayout>
                  <c:x val="0"/>
                  <c:y val="0"/>
                </c:manualLayout>
              </c:layout>
              <c:numFmt formatCode="General"/>
            </c:trendlineLbl>
          </c:trendline>
          <c:xVal>
            <c:numRef>
              <c:f>Рабочий!$C$20:$C$31</c:f>
              <c:numCache/>
            </c:numRef>
          </c:xVal>
          <c:yVal>
            <c:numRef>
              <c:f>Рабочий!$D$20:$D$31</c:f>
              <c:numCache/>
            </c:numRef>
          </c:yVal>
          <c:smooth val="1"/>
        </c:ser>
        <c:axId val="3742456"/>
        <c:axId val="64643129"/>
      </c:scatterChart>
      <c:valAx>
        <c:axId val="3742456"/>
        <c:scaling>
          <c:orientation val="minMax"/>
        </c:scaling>
        <c:axPos val="b"/>
        <c:delete val="0"/>
        <c:numFmt formatCode="General" sourceLinked="1"/>
        <c:majorTickMark val="out"/>
        <c:minorTickMark val="none"/>
        <c:tickLblPos val="nextTo"/>
        <c:crossAx val="64643129"/>
        <c:crosses val="autoZero"/>
        <c:crossBetween val="midCat"/>
        <c:dispUnits/>
      </c:valAx>
      <c:valAx>
        <c:axId val="64643129"/>
        <c:scaling>
          <c:orientation val="minMax"/>
        </c:scaling>
        <c:axPos val="l"/>
        <c:majorGridlines/>
        <c:delete val="0"/>
        <c:numFmt formatCode="General" sourceLinked="1"/>
        <c:majorTickMark val="out"/>
        <c:minorTickMark val="none"/>
        <c:tickLblPos val="nextTo"/>
        <c:crossAx val="374245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Cyr"/>
          <a:ea typeface="Arial Cyr"/>
          <a:cs typeface="Arial Cy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0"/>
            <c:trendlineLbl>
              <c:layout>
                <c:manualLayout>
                  <c:x val="0"/>
                  <c:y val="0"/>
                </c:manualLayout>
              </c:layout>
              <c:numFmt formatCode="General"/>
            </c:trendlineLbl>
          </c:trendline>
          <c:xVal>
            <c:numRef>
              <c:f>Рабочий!$C$20:$C$31</c:f>
              <c:numCache/>
            </c:numRef>
          </c:xVal>
          <c:yVal>
            <c:numRef>
              <c:f>Рабочий!$D$20:$D$31</c:f>
              <c:numCache/>
            </c:numRef>
          </c:yVal>
          <c:smooth val="1"/>
        </c:ser>
        <c:axId val="48985042"/>
        <c:axId val="64701443"/>
      </c:scatterChart>
      <c:valAx>
        <c:axId val="48985042"/>
        <c:scaling>
          <c:orientation val="minMax"/>
        </c:scaling>
        <c:axPos val="b"/>
        <c:delete val="0"/>
        <c:numFmt formatCode="General" sourceLinked="1"/>
        <c:majorTickMark val="out"/>
        <c:minorTickMark val="none"/>
        <c:tickLblPos val="nextTo"/>
        <c:crossAx val="64701443"/>
        <c:crosses val="autoZero"/>
        <c:crossBetween val="midCat"/>
        <c:dispUnits/>
      </c:valAx>
      <c:valAx>
        <c:axId val="64701443"/>
        <c:scaling>
          <c:orientation val="minMax"/>
        </c:scaling>
        <c:axPos val="l"/>
        <c:majorGridlines/>
        <c:delete val="0"/>
        <c:numFmt formatCode="General" sourceLinked="1"/>
        <c:majorTickMark val="out"/>
        <c:minorTickMark val="none"/>
        <c:tickLblPos val="nextTo"/>
        <c:crossAx val="4898504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50" b="0" i="0" u="none" baseline="0">
          <a:latin typeface="Arial Cyr"/>
          <a:ea typeface="Arial Cyr"/>
          <a:cs typeface="Arial Cy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0"/>
            <c:dispRSqr val="1"/>
            <c:trendlineLbl>
              <c:layout>
                <c:manualLayout>
                  <c:x val="0"/>
                  <c:y val="0"/>
                </c:manualLayout>
              </c:layout>
              <c:numFmt formatCode="General"/>
            </c:trendlineLbl>
          </c:trendline>
          <c:xVal>
            <c:numRef>
              <c:f>Рабочий!$C$20:$C$31</c:f>
              <c:numCache/>
            </c:numRef>
          </c:xVal>
          <c:yVal>
            <c:numRef>
              <c:f>Рабочий!$D$20:$D$31</c:f>
              <c:numCache/>
            </c:numRef>
          </c:yVal>
          <c:smooth val="1"/>
        </c:ser>
        <c:axId val="54174988"/>
        <c:axId val="56844589"/>
      </c:scatterChart>
      <c:valAx>
        <c:axId val="54174988"/>
        <c:scaling>
          <c:orientation val="minMax"/>
        </c:scaling>
        <c:axPos val="b"/>
        <c:delete val="0"/>
        <c:numFmt formatCode="General" sourceLinked="1"/>
        <c:majorTickMark val="out"/>
        <c:minorTickMark val="none"/>
        <c:tickLblPos val="nextTo"/>
        <c:crossAx val="56844589"/>
        <c:crosses val="autoZero"/>
        <c:crossBetween val="midCat"/>
        <c:dispUnits/>
      </c:valAx>
      <c:valAx>
        <c:axId val="56844589"/>
        <c:scaling>
          <c:orientation val="minMax"/>
        </c:scaling>
        <c:axPos val="l"/>
        <c:majorGridlines/>
        <c:delete val="0"/>
        <c:numFmt formatCode="General" sourceLinked="1"/>
        <c:majorTickMark val="out"/>
        <c:minorTickMark val="none"/>
        <c:tickLblPos val="nextTo"/>
        <c:crossAx val="5417498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 Id="rId3" Type="http://schemas.openxmlformats.org/officeDocument/2006/relationships/image" Target="../media/image3.png"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50</xdr:row>
      <xdr:rowOff>238125</xdr:rowOff>
    </xdr:from>
    <xdr:to>
      <xdr:col>1</xdr:col>
      <xdr:colOff>7581900</xdr:colOff>
      <xdr:row>52</xdr:row>
      <xdr:rowOff>9525</xdr:rowOff>
    </xdr:to>
    <xdr:pic>
      <xdr:nvPicPr>
        <xdr:cNvPr id="1" name="Picture 1"/>
        <xdr:cNvPicPr preferRelativeResize="1">
          <a:picLocks noChangeAspect="1"/>
        </xdr:cNvPicPr>
      </xdr:nvPicPr>
      <xdr:blipFill>
        <a:blip r:embed="rId1"/>
        <a:stretch>
          <a:fillRect/>
        </a:stretch>
      </xdr:blipFill>
      <xdr:spPr>
        <a:xfrm>
          <a:off x="1343025" y="11868150"/>
          <a:ext cx="6781800" cy="3581400"/>
        </a:xfrm>
        <a:prstGeom prst="rect">
          <a:avLst/>
        </a:prstGeom>
        <a:solidFill>
          <a:srgbClr val="FFFFFF"/>
        </a:solidFill>
        <a:ln w="9525" cmpd="sng">
          <a:noFill/>
        </a:ln>
      </xdr:spPr>
    </xdr:pic>
    <xdr:clientData/>
  </xdr:twoCellAnchor>
  <xdr:twoCellAnchor>
    <xdr:from>
      <xdr:col>1</xdr:col>
      <xdr:colOff>1000125</xdr:colOff>
      <xdr:row>68</xdr:row>
      <xdr:rowOff>171450</xdr:rowOff>
    </xdr:from>
    <xdr:to>
      <xdr:col>1</xdr:col>
      <xdr:colOff>7791450</xdr:colOff>
      <xdr:row>68</xdr:row>
      <xdr:rowOff>2828925</xdr:rowOff>
    </xdr:to>
    <xdr:pic>
      <xdr:nvPicPr>
        <xdr:cNvPr id="2" name="Picture 2"/>
        <xdr:cNvPicPr preferRelativeResize="1">
          <a:picLocks noChangeAspect="1"/>
        </xdr:cNvPicPr>
      </xdr:nvPicPr>
      <xdr:blipFill>
        <a:blip r:embed="rId2"/>
        <a:stretch>
          <a:fillRect/>
        </a:stretch>
      </xdr:blipFill>
      <xdr:spPr>
        <a:xfrm>
          <a:off x="1543050" y="21002625"/>
          <a:ext cx="6791325" cy="2667000"/>
        </a:xfrm>
        <a:prstGeom prst="rect">
          <a:avLst/>
        </a:prstGeom>
        <a:solidFill>
          <a:srgbClr val="FFFFFF"/>
        </a:solidFill>
        <a:ln w="9525" cmpd="sng">
          <a:noFill/>
        </a:ln>
      </xdr:spPr>
    </xdr:pic>
    <xdr:clientData/>
  </xdr:twoCellAnchor>
  <xdr:twoCellAnchor>
    <xdr:from>
      <xdr:col>1</xdr:col>
      <xdr:colOff>781050</xdr:colOff>
      <xdr:row>72</xdr:row>
      <xdr:rowOff>28575</xdr:rowOff>
    </xdr:from>
    <xdr:to>
      <xdr:col>1</xdr:col>
      <xdr:colOff>7572375</xdr:colOff>
      <xdr:row>72</xdr:row>
      <xdr:rowOff>3228975</xdr:rowOff>
    </xdr:to>
    <xdr:pic>
      <xdr:nvPicPr>
        <xdr:cNvPr id="3" name="Picture 6"/>
        <xdr:cNvPicPr preferRelativeResize="1">
          <a:picLocks noChangeAspect="1"/>
        </xdr:cNvPicPr>
      </xdr:nvPicPr>
      <xdr:blipFill>
        <a:blip r:embed="rId3"/>
        <a:stretch>
          <a:fillRect/>
        </a:stretch>
      </xdr:blipFill>
      <xdr:spPr>
        <a:xfrm>
          <a:off x="1323975" y="24984075"/>
          <a:ext cx="6781800" cy="3209925"/>
        </a:xfrm>
        <a:prstGeom prst="rect">
          <a:avLst/>
        </a:prstGeom>
        <a:noFill/>
        <a:ln w="9525" cmpd="sng">
          <a:noFill/>
        </a:ln>
      </xdr:spPr>
    </xdr:pic>
    <xdr:clientData/>
  </xdr:twoCellAnchor>
  <xdr:twoCellAnchor>
    <xdr:from>
      <xdr:col>1</xdr:col>
      <xdr:colOff>771525</xdr:colOff>
      <xdr:row>76</xdr:row>
      <xdr:rowOff>161925</xdr:rowOff>
    </xdr:from>
    <xdr:to>
      <xdr:col>1</xdr:col>
      <xdr:colOff>7572375</xdr:colOff>
      <xdr:row>76</xdr:row>
      <xdr:rowOff>3448050</xdr:rowOff>
    </xdr:to>
    <xdr:pic>
      <xdr:nvPicPr>
        <xdr:cNvPr id="4" name="Picture 5"/>
        <xdr:cNvPicPr preferRelativeResize="1">
          <a:picLocks noChangeAspect="1"/>
        </xdr:cNvPicPr>
      </xdr:nvPicPr>
      <xdr:blipFill>
        <a:blip r:embed="rId4"/>
        <a:stretch>
          <a:fillRect/>
        </a:stretch>
      </xdr:blipFill>
      <xdr:spPr>
        <a:xfrm>
          <a:off x="1314450" y="29670375"/>
          <a:ext cx="6800850" cy="32861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66675</xdr:rowOff>
    </xdr:from>
    <xdr:to>
      <xdr:col>20</xdr:col>
      <xdr:colOff>152400</xdr:colOff>
      <xdr:row>2</xdr:row>
      <xdr:rowOff>9525</xdr:rowOff>
    </xdr:to>
    <xdr:sp macro="[0]!Поле3_Щелкнуть">
      <xdr:nvSpPr>
        <xdr:cNvPr id="1" name="TextBox 6"/>
        <xdr:cNvSpPr txBox="1">
          <a:spLocks noChangeArrowheads="1"/>
        </xdr:cNvSpPr>
      </xdr:nvSpPr>
      <xdr:spPr>
        <a:xfrm>
          <a:off x="8020050" y="66675"/>
          <a:ext cx="4171950" cy="352425"/>
        </a:xfrm>
        <a:prstGeom prst="rect">
          <a:avLst/>
        </a:prstGeom>
        <a:solidFill>
          <a:srgbClr val="FFFFFF"/>
        </a:solidFill>
        <a:ln w="9525" cmpd="sng">
          <a:noFill/>
        </a:ln>
      </xdr:spPr>
      <xdr:txBody>
        <a:bodyPr vertOverflow="clip" wrap="square"/>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10</xdr:row>
      <xdr:rowOff>114300</xdr:rowOff>
    </xdr:from>
    <xdr:to>
      <xdr:col>16</xdr:col>
      <xdr:colOff>28575</xdr:colOff>
      <xdr:row>25</xdr:row>
      <xdr:rowOff>66675</xdr:rowOff>
    </xdr:to>
    <xdr:graphicFrame>
      <xdr:nvGraphicFramePr>
        <xdr:cNvPr id="1" name="Chart 4"/>
        <xdr:cNvGraphicFramePr/>
      </xdr:nvGraphicFramePr>
      <xdr:xfrm>
        <a:off x="10934700" y="1924050"/>
        <a:ext cx="2333625" cy="2667000"/>
      </xdr:xfrm>
      <a:graphic>
        <a:graphicData uri="http://schemas.openxmlformats.org/drawingml/2006/chart">
          <c:chart xmlns:c="http://schemas.openxmlformats.org/drawingml/2006/chart" r:id="rId1"/>
        </a:graphicData>
      </a:graphic>
    </xdr:graphicFrame>
    <xdr:clientData/>
  </xdr:twoCellAnchor>
  <xdr:twoCellAnchor>
    <xdr:from>
      <xdr:col>12</xdr:col>
      <xdr:colOff>438150</xdr:colOff>
      <xdr:row>25</xdr:row>
      <xdr:rowOff>152400</xdr:rowOff>
    </xdr:from>
    <xdr:to>
      <xdr:col>16</xdr:col>
      <xdr:colOff>19050</xdr:colOff>
      <xdr:row>40</xdr:row>
      <xdr:rowOff>95250</xdr:rowOff>
    </xdr:to>
    <xdr:graphicFrame>
      <xdr:nvGraphicFramePr>
        <xdr:cNvPr id="2" name="Chart 5"/>
        <xdr:cNvGraphicFramePr/>
      </xdr:nvGraphicFramePr>
      <xdr:xfrm>
        <a:off x="10934700" y="4676775"/>
        <a:ext cx="2324100" cy="2657475"/>
      </xdr:xfrm>
      <a:graphic>
        <a:graphicData uri="http://schemas.openxmlformats.org/drawingml/2006/chart">
          <c:chart xmlns:c="http://schemas.openxmlformats.org/drawingml/2006/chart" r:id="rId2"/>
        </a:graphicData>
      </a:graphic>
    </xdr:graphicFrame>
    <xdr:clientData/>
  </xdr:twoCellAnchor>
  <xdr:twoCellAnchor>
    <xdr:from>
      <xdr:col>16</xdr:col>
      <xdr:colOff>323850</xdr:colOff>
      <xdr:row>10</xdr:row>
      <xdr:rowOff>114300</xdr:rowOff>
    </xdr:from>
    <xdr:to>
      <xdr:col>19</xdr:col>
      <xdr:colOff>609600</xdr:colOff>
      <xdr:row>25</xdr:row>
      <xdr:rowOff>76200</xdr:rowOff>
    </xdr:to>
    <xdr:graphicFrame>
      <xdr:nvGraphicFramePr>
        <xdr:cNvPr id="3" name="Chart 27"/>
        <xdr:cNvGraphicFramePr/>
      </xdr:nvGraphicFramePr>
      <xdr:xfrm>
        <a:off x="13563600" y="1924050"/>
        <a:ext cx="2343150" cy="2676525"/>
      </xdr:xfrm>
      <a:graphic>
        <a:graphicData uri="http://schemas.openxmlformats.org/drawingml/2006/chart">
          <c:chart xmlns:c="http://schemas.openxmlformats.org/drawingml/2006/chart" r:id="rId3"/>
        </a:graphicData>
      </a:graphic>
    </xdr:graphicFrame>
    <xdr:clientData/>
  </xdr:twoCellAnchor>
  <xdr:twoCellAnchor>
    <xdr:from>
      <xdr:col>20</xdr:col>
      <xdr:colOff>219075</xdr:colOff>
      <xdr:row>10</xdr:row>
      <xdr:rowOff>114300</xdr:rowOff>
    </xdr:from>
    <xdr:to>
      <xdr:col>23</xdr:col>
      <xdr:colOff>504825</xdr:colOff>
      <xdr:row>25</xdr:row>
      <xdr:rowOff>76200</xdr:rowOff>
    </xdr:to>
    <xdr:graphicFrame>
      <xdr:nvGraphicFramePr>
        <xdr:cNvPr id="4" name="Chart 28"/>
        <xdr:cNvGraphicFramePr/>
      </xdr:nvGraphicFramePr>
      <xdr:xfrm>
        <a:off x="16202025" y="1924050"/>
        <a:ext cx="2600325" cy="2676525"/>
      </xdr:xfrm>
      <a:graphic>
        <a:graphicData uri="http://schemas.openxmlformats.org/drawingml/2006/chart">
          <c:chart xmlns:c="http://schemas.openxmlformats.org/drawingml/2006/chart" r:id="rId4"/>
        </a:graphicData>
      </a:graphic>
    </xdr:graphicFrame>
    <xdr:clientData/>
  </xdr:twoCellAnchor>
  <xdr:twoCellAnchor>
    <xdr:from>
      <xdr:col>16</xdr:col>
      <xdr:colOff>333375</xdr:colOff>
      <xdr:row>25</xdr:row>
      <xdr:rowOff>171450</xdr:rowOff>
    </xdr:from>
    <xdr:to>
      <xdr:col>19</xdr:col>
      <xdr:colOff>609600</xdr:colOff>
      <xdr:row>40</xdr:row>
      <xdr:rowOff>123825</xdr:rowOff>
    </xdr:to>
    <xdr:graphicFrame>
      <xdr:nvGraphicFramePr>
        <xdr:cNvPr id="5" name="Chart 29"/>
        <xdr:cNvGraphicFramePr/>
      </xdr:nvGraphicFramePr>
      <xdr:xfrm>
        <a:off x="13573125" y="4695825"/>
        <a:ext cx="2333625" cy="2667000"/>
      </xdr:xfrm>
      <a:graphic>
        <a:graphicData uri="http://schemas.openxmlformats.org/drawingml/2006/chart">
          <c:chart xmlns:c="http://schemas.openxmlformats.org/drawingml/2006/chart" r:id="rId5"/>
        </a:graphicData>
      </a:graphic>
    </xdr:graphicFrame>
    <xdr:clientData/>
  </xdr:twoCellAnchor>
  <xdr:twoCellAnchor>
    <xdr:from>
      <xdr:col>20</xdr:col>
      <xdr:colOff>238125</xdr:colOff>
      <xdr:row>25</xdr:row>
      <xdr:rowOff>171450</xdr:rowOff>
    </xdr:from>
    <xdr:to>
      <xdr:col>23</xdr:col>
      <xdr:colOff>514350</xdr:colOff>
      <xdr:row>40</xdr:row>
      <xdr:rowOff>123825</xdr:rowOff>
    </xdr:to>
    <xdr:graphicFrame>
      <xdr:nvGraphicFramePr>
        <xdr:cNvPr id="6" name="Chart 30"/>
        <xdr:cNvGraphicFramePr/>
      </xdr:nvGraphicFramePr>
      <xdr:xfrm>
        <a:off x="16221075" y="4695825"/>
        <a:ext cx="2590800" cy="2667000"/>
      </xdr:xfrm>
      <a:graphic>
        <a:graphicData uri="http://schemas.openxmlformats.org/drawingml/2006/chart">
          <c:chart xmlns:c="http://schemas.openxmlformats.org/drawingml/2006/chart" r:id="rId6"/>
        </a:graphicData>
      </a:graphic>
    </xdr:graphicFrame>
    <xdr:clientData/>
  </xdr:twoCellAnchor>
  <xdr:twoCellAnchor>
    <xdr:from>
      <xdr:col>24</xdr:col>
      <xdr:colOff>400050</xdr:colOff>
      <xdr:row>10</xdr:row>
      <xdr:rowOff>133350</xdr:rowOff>
    </xdr:from>
    <xdr:to>
      <xdr:col>27</xdr:col>
      <xdr:colOff>676275</xdr:colOff>
      <xdr:row>25</xdr:row>
      <xdr:rowOff>85725</xdr:rowOff>
    </xdr:to>
    <xdr:graphicFrame>
      <xdr:nvGraphicFramePr>
        <xdr:cNvPr id="7" name="Chart 31"/>
        <xdr:cNvGraphicFramePr/>
      </xdr:nvGraphicFramePr>
      <xdr:xfrm>
        <a:off x="19383375" y="1943100"/>
        <a:ext cx="2333625" cy="2667000"/>
      </xdr:xfrm>
      <a:graphic>
        <a:graphicData uri="http://schemas.openxmlformats.org/drawingml/2006/chart">
          <c:chart xmlns:c="http://schemas.openxmlformats.org/drawingml/2006/chart" r:id="rId7"/>
        </a:graphicData>
      </a:graphic>
    </xdr:graphicFrame>
    <xdr:clientData/>
  </xdr:twoCellAnchor>
  <xdr:twoCellAnchor>
    <xdr:from>
      <xdr:col>24</xdr:col>
      <xdr:colOff>400050</xdr:colOff>
      <xdr:row>25</xdr:row>
      <xdr:rowOff>171450</xdr:rowOff>
    </xdr:from>
    <xdr:to>
      <xdr:col>27</xdr:col>
      <xdr:colOff>666750</xdr:colOff>
      <xdr:row>40</xdr:row>
      <xdr:rowOff>114300</xdr:rowOff>
    </xdr:to>
    <xdr:graphicFrame>
      <xdr:nvGraphicFramePr>
        <xdr:cNvPr id="8" name="Chart 32"/>
        <xdr:cNvGraphicFramePr/>
      </xdr:nvGraphicFramePr>
      <xdr:xfrm>
        <a:off x="19383375" y="4695825"/>
        <a:ext cx="2324100" cy="2657475"/>
      </xdr:xfrm>
      <a:graphic>
        <a:graphicData uri="http://schemas.openxmlformats.org/drawingml/2006/chart">
          <c:chart xmlns:c="http://schemas.openxmlformats.org/drawingml/2006/chart" r:id="rId8"/>
        </a:graphicData>
      </a:graphic>
    </xdr:graphicFrame>
    <xdr:clientData/>
  </xdr:twoCellAnchor>
  <xdr:twoCellAnchor>
    <xdr:from>
      <xdr:col>28</xdr:col>
      <xdr:colOff>276225</xdr:colOff>
      <xdr:row>10</xdr:row>
      <xdr:rowOff>133350</xdr:rowOff>
    </xdr:from>
    <xdr:to>
      <xdr:col>31</xdr:col>
      <xdr:colOff>571500</xdr:colOff>
      <xdr:row>25</xdr:row>
      <xdr:rowOff>95250</xdr:rowOff>
    </xdr:to>
    <xdr:graphicFrame>
      <xdr:nvGraphicFramePr>
        <xdr:cNvPr id="9" name="Chart 33"/>
        <xdr:cNvGraphicFramePr/>
      </xdr:nvGraphicFramePr>
      <xdr:xfrm>
        <a:off x="22002750" y="1943100"/>
        <a:ext cx="2352675" cy="2676525"/>
      </xdr:xfrm>
      <a:graphic>
        <a:graphicData uri="http://schemas.openxmlformats.org/drawingml/2006/chart">
          <c:chart xmlns:c="http://schemas.openxmlformats.org/drawingml/2006/chart" r:id="rId9"/>
        </a:graphicData>
      </a:graphic>
    </xdr:graphicFrame>
    <xdr:clientData/>
  </xdr:twoCellAnchor>
  <xdr:twoCellAnchor>
    <xdr:from>
      <xdr:col>28</xdr:col>
      <xdr:colOff>285750</xdr:colOff>
      <xdr:row>26</xdr:row>
      <xdr:rowOff>9525</xdr:rowOff>
    </xdr:from>
    <xdr:to>
      <xdr:col>31</xdr:col>
      <xdr:colOff>571500</xdr:colOff>
      <xdr:row>40</xdr:row>
      <xdr:rowOff>142875</xdr:rowOff>
    </xdr:to>
    <xdr:graphicFrame>
      <xdr:nvGraphicFramePr>
        <xdr:cNvPr id="10" name="Chart 34"/>
        <xdr:cNvGraphicFramePr/>
      </xdr:nvGraphicFramePr>
      <xdr:xfrm>
        <a:off x="22012275" y="4714875"/>
        <a:ext cx="2343150" cy="26670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d@npods.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3"/>
  <dimension ref="B1:D89"/>
  <sheetViews>
    <sheetView showGridLines="0" tabSelected="1" workbookViewId="0" topLeftCell="A1">
      <selection activeCell="A11" sqref="A11:IV11"/>
    </sheetView>
  </sheetViews>
  <sheetFormatPr defaultColWidth="9.00390625" defaultRowHeight="12.75"/>
  <cols>
    <col min="1" max="1" width="7.125" style="0" customWidth="1"/>
    <col min="2" max="2" width="112.25390625" style="25" customWidth="1"/>
  </cols>
  <sheetData>
    <row r="1" ht="18.75">
      <c r="B1" s="28" t="s">
        <v>28</v>
      </c>
    </row>
    <row r="2" ht="18.75">
      <c r="B2" s="28" t="s">
        <v>29</v>
      </c>
    </row>
    <row r="3" ht="15.75">
      <c r="B3" s="29"/>
    </row>
    <row r="4" ht="15.75">
      <c r="B4" s="30" t="s">
        <v>147</v>
      </c>
    </row>
    <row r="5" ht="15.75">
      <c r="B5" s="29"/>
    </row>
    <row r="6" ht="15.75">
      <c r="B6" s="29"/>
    </row>
    <row r="7" ht="15.75">
      <c r="B7" s="29"/>
    </row>
    <row r="8" ht="15.75">
      <c r="B8" s="30" t="s">
        <v>50</v>
      </c>
    </row>
    <row r="9" ht="15.75">
      <c r="B9" s="30"/>
    </row>
    <row r="10" ht="15.75">
      <c r="B10" s="37" t="s">
        <v>30</v>
      </c>
    </row>
    <row r="11" ht="15.75">
      <c r="B11" s="37" t="s">
        <v>31</v>
      </c>
    </row>
    <row r="12" ht="15.75">
      <c r="B12" s="37" t="s">
        <v>121</v>
      </c>
    </row>
    <row r="13" ht="15.75">
      <c r="B13" s="37" t="s">
        <v>51</v>
      </c>
    </row>
    <row r="14" ht="15.75">
      <c r="B14" s="37" t="s">
        <v>32</v>
      </c>
    </row>
    <row r="15" ht="15.75">
      <c r="B15" s="30"/>
    </row>
    <row r="16" ht="18.75">
      <c r="B16" s="28" t="s">
        <v>30</v>
      </c>
    </row>
    <row r="17" ht="18.75">
      <c r="B17" s="28"/>
    </row>
    <row r="18" spans="2:3" ht="47.25">
      <c r="B18" s="31" t="s">
        <v>122</v>
      </c>
      <c r="C18" s="24"/>
    </row>
    <row r="19" spans="2:3" ht="15.75">
      <c r="B19" s="31"/>
      <c r="C19" s="18"/>
    </row>
    <row r="20" spans="2:3" ht="31.5">
      <c r="B20" s="31" t="s">
        <v>33</v>
      </c>
      <c r="C20" s="24"/>
    </row>
    <row r="21" spans="2:3" ht="15.75">
      <c r="B21" s="31"/>
      <c r="C21" s="19"/>
    </row>
    <row r="22" spans="2:3" ht="15.75">
      <c r="B22" s="31" t="s">
        <v>123</v>
      </c>
      <c r="C22" s="19"/>
    </row>
    <row r="23" spans="2:3" ht="15.75">
      <c r="B23" s="31"/>
      <c r="C23" s="22"/>
    </row>
    <row r="24" spans="2:3" ht="15.75">
      <c r="B24" s="31" t="s">
        <v>124</v>
      </c>
      <c r="C24" s="22"/>
    </row>
    <row r="25" spans="2:3" ht="15.75">
      <c r="B25" s="31" t="s">
        <v>125</v>
      </c>
      <c r="C25" s="20"/>
    </row>
    <row r="26" spans="2:3" ht="15.75">
      <c r="B26" s="31" t="s">
        <v>126</v>
      </c>
      <c r="C26" s="20"/>
    </row>
    <row r="27" spans="2:3" ht="15.75">
      <c r="B27" s="31" t="s">
        <v>127</v>
      </c>
      <c r="C27" s="21"/>
    </row>
    <row r="28" spans="2:3" ht="15.75">
      <c r="B28" s="31" t="s">
        <v>128</v>
      </c>
      <c r="C28" s="21"/>
    </row>
    <row r="29" spans="2:3" ht="15.75">
      <c r="B29" s="31" t="s">
        <v>129</v>
      </c>
      <c r="C29" s="20"/>
    </row>
    <row r="30" spans="2:3" ht="15.75">
      <c r="B30" s="31" t="s">
        <v>130</v>
      </c>
      <c r="C30" s="20"/>
    </row>
    <row r="31" spans="2:4" ht="15.75">
      <c r="B31" s="31" t="s">
        <v>131</v>
      </c>
      <c r="C31" s="20"/>
      <c r="D31" s="20"/>
    </row>
    <row r="32" spans="2:4" ht="15.75">
      <c r="B32" s="31" t="s">
        <v>132</v>
      </c>
      <c r="C32" s="23"/>
      <c r="D32" s="20"/>
    </row>
    <row r="33" spans="2:4" ht="15.75">
      <c r="B33" s="31" t="s">
        <v>133</v>
      </c>
      <c r="C33" s="23"/>
      <c r="D33" s="20"/>
    </row>
    <row r="34" spans="2:3" ht="15.75">
      <c r="B34" s="31"/>
      <c r="C34" s="22"/>
    </row>
    <row r="35" spans="2:3" ht="15.75">
      <c r="B35" s="31" t="s">
        <v>134</v>
      </c>
      <c r="C35" s="22"/>
    </row>
    <row r="36" spans="2:3" ht="15.75">
      <c r="B36" s="31" t="s">
        <v>135</v>
      </c>
      <c r="C36" s="20"/>
    </row>
    <row r="37" spans="2:3" ht="15.75">
      <c r="B37" s="31" t="s">
        <v>136</v>
      </c>
      <c r="C37" s="20"/>
    </row>
    <row r="38" spans="2:3" ht="15.75">
      <c r="B38" s="31" t="s">
        <v>137</v>
      </c>
      <c r="C38" s="21"/>
    </row>
    <row r="39" spans="2:3" ht="15.75">
      <c r="B39" s="31" t="s">
        <v>138</v>
      </c>
      <c r="C39" s="21"/>
    </row>
    <row r="40" spans="2:3" ht="31.5">
      <c r="B40" s="31" t="s">
        <v>139</v>
      </c>
      <c r="C40" s="20"/>
    </row>
    <row r="41" spans="2:3" ht="15.75">
      <c r="B41" s="31"/>
      <c r="C41" s="20"/>
    </row>
    <row r="42" spans="2:4" ht="15.75">
      <c r="B42" s="31" t="s">
        <v>34</v>
      </c>
      <c r="C42" s="20"/>
      <c r="D42" s="20"/>
    </row>
    <row r="43" spans="2:4" ht="15.75">
      <c r="B43" s="31"/>
      <c r="C43" s="23"/>
      <c r="D43" s="20"/>
    </row>
    <row r="44" spans="2:4" ht="18.75">
      <c r="B44" s="28" t="s">
        <v>31</v>
      </c>
      <c r="C44" s="23"/>
      <c r="D44" s="20"/>
    </row>
    <row r="45" spans="2:3" ht="18.75">
      <c r="B45" s="28"/>
      <c r="C45" s="22"/>
    </row>
    <row r="46" spans="2:3" ht="15.75">
      <c r="B46" s="33" t="s">
        <v>35</v>
      </c>
      <c r="C46" s="22"/>
    </row>
    <row r="47" spans="2:3" ht="31.5">
      <c r="B47" s="33" t="s">
        <v>36</v>
      </c>
      <c r="C47" s="20"/>
    </row>
    <row r="48" spans="2:3" ht="15.75">
      <c r="B48" s="33" t="s">
        <v>37</v>
      </c>
      <c r="C48" s="20"/>
    </row>
    <row r="49" spans="2:3" ht="31.5">
      <c r="B49" s="33" t="s">
        <v>38</v>
      </c>
      <c r="C49" s="21"/>
    </row>
    <row r="50" spans="2:3" ht="31.5">
      <c r="B50" s="33" t="s">
        <v>39</v>
      </c>
      <c r="C50" s="21"/>
    </row>
    <row r="51" spans="2:3" ht="284.25" customHeight="1">
      <c r="B51" s="33"/>
      <c r="C51" s="20"/>
    </row>
    <row r="52" ht="15.75">
      <c r="C52" s="20"/>
    </row>
    <row r="53" spans="2:4" ht="15.75">
      <c r="B53" s="35" t="s">
        <v>40</v>
      </c>
      <c r="C53" s="20"/>
      <c r="D53" s="20"/>
    </row>
    <row r="54" ht="14.25">
      <c r="B54" s="35" t="s">
        <v>140</v>
      </c>
    </row>
    <row r="55" ht="15">
      <c r="B55" s="102"/>
    </row>
    <row r="56" ht="18.75">
      <c r="B56" s="28" t="s">
        <v>121</v>
      </c>
    </row>
    <row r="57" ht="18.75">
      <c r="B57" s="28"/>
    </row>
    <row r="58" ht="15.75">
      <c r="B58" s="29"/>
    </row>
    <row r="59" ht="15.75">
      <c r="B59" s="31" t="s">
        <v>141</v>
      </c>
    </row>
    <row r="60" ht="14.25">
      <c r="B60" s="103"/>
    </row>
    <row r="61" ht="31.5">
      <c r="B61" s="31" t="s">
        <v>142</v>
      </c>
    </row>
    <row r="62" ht="15.75">
      <c r="B62" s="33" t="s">
        <v>148</v>
      </c>
    </row>
    <row r="63" ht="31.5">
      <c r="B63" s="33" t="s">
        <v>143</v>
      </c>
    </row>
    <row r="64" ht="63">
      <c r="B64" s="33" t="s">
        <v>144</v>
      </c>
    </row>
    <row r="65" ht="31.5">
      <c r="B65" s="33" t="s">
        <v>145</v>
      </c>
    </row>
    <row r="66" ht="94.5">
      <c r="B66" s="36" t="s">
        <v>146</v>
      </c>
    </row>
    <row r="68" ht="15.75">
      <c r="B68" s="36"/>
    </row>
    <row r="69" ht="240.75" customHeight="1">
      <c r="B69" s="30" t="s">
        <v>46</v>
      </c>
    </row>
    <row r="70" ht="15.75">
      <c r="B70" s="30"/>
    </row>
    <row r="71" ht="55.5" customHeight="1">
      <c r="B71" s="33" t="s">
        <v>149</v>
      </c>
    </row>
    <row r="73" ht="279.75" customHeight="1">
      <c r="B73" s="30" t="s">
        <v>47</v>
      </c>
    </row>
    <row r="74" ht="18.75">
      <c r="B74" s="28" t="s">
        <v>41</v>
      </c>
    </row>
    <row r="75" ht="47.25">
      <c r="B75" s="31" t="s">
        <v>49</v>
      </c>
    </row>
    <row r="77" ht="317.25" customHeight="1">
      <c r="B77" s="30" t="s">
        <v>48</v>
      </c>
    </row>
    <row r="78" ht="18.75">
      <c r="B78" s="32"/>
    </row>
    <row r="79" ht="18.75">
      <c r="B79" s="28" t="s">
        <v>32</v>
      </c>
    </row>
    <row r="80" ht="15.75">
      <c r="B80" s="29"/>
    </row>
    <row r="81" ht="15.75">
      <c r="B81" s="31" t="s">
        <v>42</v>
      </c>
    </row>
    <row r="82" ht="15.75">
      <c r="B82" s="34" t="s">
        <v>43</v>
      </c>
    </row>
    <row r="83" ht="31.5">
      <c r="B83" s="34" t="s">
        <v>44</v>
      </c>
    </row>
    <row r="84" ht="15.75">
      <c r="B84" s="33"/>
    </row>
    <row r="85" ht="15.75">
      <c r="B85" s="31"/>
    </row>
    <row r="86" ht="12.75">
      <c r="B86" s="104" t="s">
        <v>45</v>
      </c>
    </row>
    <row r="87" ht="15.75">
      <c r="B87" s="33"/>
    </row>
    <row r="88" ht="15.75">
      <c r="B88" s="33"/>
    </row>
    <row r="89" ht="15.75">
      <c r="B89" s="33"/>
    </row>
  </sheetData>
  <sheetProtection password="CF3A" sheet="1" objects="1" scenarios="1"/>
  <hyperlinks>
    <hyperlink ref="B86" r:id="rId1" display="mailto:ckd@npods.ru"/>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Лист1"/>
  <dimension ref="A1:AA82"/>
  <sheetViews>
    <sheetView zoomScale="85" zoomScaleNormal="85" workbookViewId="0" topLeftCell="A1">
      <selection activeCell="I7" sqref="I7:I12"/>
    </sheetView>
  </sheetViews>
  <sheetFormatPr defaultColWidth="9.00390625" defaultRowHeight="12.75"/>
  <cols>
    <col min="1" max="1" width="1.625" style="0" customWidth="1"/>
    <col min="2" max="2" width="1.37890625" style="0" customWidth="1"/>
    <col min="3" max="3" width="18.125" style="0" customWidth="1"/>
    <col min="4" max="4" width="8.375" style="0" customWidth="1"/>
    <col min="5" max="5" width="8.00390625" style="0" customWidth="1"/>
    <col min="6" max="6" width="4.875" style="0" customWidth="1"/>
    <col min="7" max="7" width="4.625" style="0" customWidth="1"/>
    <col min="8" max="8" width="3.00390625" style="0" customWidth="1"/>
    <col min="9" max="20" width="9.00390625" style="0" customWidth="1"/>
  </cols>
  <sheetData>
    <row r="1" spans="1:4" ht="19.5" customHeight="1">
      <c r="A1">
        <v>6</v>
      </c>
      <c r="D1" s="10" t="s">
        <v>26</v>
      </c>
    </row>
    <row r="3" spans="3:8" ht="15.75" customHeight="1" thickBot="1">
      <c r="C3" s="10" t="s">
        <v>27</v>
      </c>
      <c r="H3" s="10" t="s">
        <v>111</v>
      </c>
    </row>
    <row r="4" spans="2:14" ht="64.5" customHeight="1" thickBot="1">
      <c r="B4" s="7"/>
      <c r="C4" s="64" t="str">
        <f>CONCATENATE("Концентрация ",Рабочий!H48," в калибраторах, ",Рабочий!L48)</f>
        <v>Концентрация Т4-общ. в калибраторах, нмоль/л</v>
      </c>
      <c r="D4" s="109" t="s">
        <v>17</v>
      </c>
      <c r="E4" s="110"/>
      <c r="N4" t="s">
        <v>68</v>
      </c>
    </row>
    <row r="5" spans="2:21" ht="13.5" thickBot="1">
      <c r="B5" s="7"/>
      <c r="C5" s="96"/>
      <c r="D5" s="99"/>
      <c r="E5" s="99"/>
      <c r="H5" s="105" t="s">
        <v>3</v>
      </c>
      <c r="I5" s="105"/>
      <c r="J5" s="105"/>
      <c r="K5" s="105"/>
      <c r="L5" s="105"/>
      <c r="M5" s="105"/>
      <c r="N5" s="105"/>
      <c r="O5" s="105"/>
      <c r="P5" s="105"/>
      <c r="Q5" s="105"/>
      <c r="R5" s="105"/>
      <c r="S5" s="105"/>
      <c r="T5" s="106"/>
      <c r="U5" s="91"/>
    </row>
    <row r="6" spans="2:27" ht="13.5" thickBot="1">
      <c r="B6" s="7"/>
      <c r="C6" s="96"/>
      <c r="D6" s="99"/>
      <c r="E6" s="99"/>
      <c r="H6" s="1"/>
      <c r="I6" s="16">
        <v>1</v>
      </c>
      <c r="J6" s="16">
        <v>2</v>
      </c>
      <c r="K6" s="16">
        <v>3</v>
      </c>
      <c r="L6" s="16">
        <v>4</v>
      </c>
      <c r="M6" s="16">
        <v>5</v>
      </c>
      <c r="N6" s="16">
        <v>6</v>
      </c>
      <c r="O6" s="16">
        <v>7</v>
      </c>
      <c r="P6" s="16">
        <v>8</v>
      </c>
      <c r="Q6" s="16">
        <v>9</v>
      </c>
      <c r="R6" s="16">
        <v>10</v>
      </c>
      <c r="S6" s="16">
        <v>11</v>
      </c>
      <c r="T6" s="87">
        <v>12</v>
      </c>
      <c r="U6" s="91"/>
      <c r="V6" s="94"/>
      <c r="W6" s="94"/>
      <c r="X6" s="94"/>
      <c r="Y6" s="94"/>
      <c r="Z6" s="68"/>
      <c r="AA6" s="7"/>
    </row>
    <row r="7" spans="2:27" ht="13.5" thickBot="1">
      <c r="B7" s="7"/>
      <c r="C7" s="96"/>
      <c r="D7" s="99"/>
      <c r="E7" s="99"/>
      <c r="H7" s="15" t="s">
        <v>8</v>
      </c>
      <c r="I7" s="65"/>
      <c r="J7" s="65"/>
      <c r="K7" s="99"/>
      <c r="L7" s="99"/>
      <c r="M7" s="99"/>
      <c r="N7" s="99"/>
      <c r="O7" s="99"/>
      <c r="P7" s="99"/>
      <c r="Q7" s="99"/>
      <c r="R7" s="99"/>
      <c r="S7" s="99"/>
      <c r="T7" s="99"/>
      <c r="U7" s="91"/>
      <c r="V7" s="94"/>
      <c r="W7" s="94"/>
      <c r="X7" s="94"/>
      <c r="Y7" s="94"/>
      <c r="Z7" s="68"/>
      <c r="AA7" s="7"/>
    </row>
    <row r="8" spans="2:27" ht="13.5" thickBot="1">
      <c r="B8" s="7"/>
      <c r="C8" s="96"/>
      <c r="D8" s="99"/>
      <c r="E8" s="99"/>
      <c r="H8" s="15" t="s">
        <v>9</v>
      </c>
      <c r="I8" s="65"/>
      <c r="J8" s="65"/>
      <c r="K8" s="99"/>
      <c r="L8" s="99"/>
      <c r="M8" s="99"/>
      <c r="N8" s="99"/>
      <c r="O8" s="99"/>
      <c r="P8" s="99"/>
      <c r="Q8" s="99"/>
      <c r="R8" s="99"/>
      <c r="S8" s="99"/>
      <c r="T8" s="99"/>
      <c r="U8" s="91"/>
      <c r="V8" s="94"/>
      <c r="W8" s="94"/>
      <c r="X8" s="94"/>
      <c r="Y8" s="94"/>
      <c r="Z8" s="68"/>
      <c r="AA8" s="7"/>
    </row>
    <row r="9" spans="2:27" ht="13.5" thickBot="1">
      <c r="B9" s="7"/>
      <c r="C9" s="96"/>
      <c r="D9" s="99"/>
      <c r="E9" s="99"/>
      <c r="H9" s="15" t="s">
        <v>10</v>
      </c>
      <c r="I9" s="65"/>
      <c r="J9" s="65"/>
      <c r="K9" s="99"/>
      <c r="L9" s="99"/>
      <c r="M9" s="99"/>
      <c r="N9" s="99"/>
      <c r="O9" s="99"/>
      <c r="P9" s="99"/>
      <c r="Q9" s="99"/>
      <c r="R9" s="99"/>
      <c r="S9" s="99"/>
      <c r="T9" s="99"/>
      <c r="U9" s="91"/>
      <c r="V9" s="94"/>
      <c r="W9" s="94"/>
      <c r="X9" s="94"/>
      <c r="Y9" s="94"/>
      <c r="Z9" s="68"/>
      <c r="AA9" s="7"/>
    </row>
    <row r="10" spans="2:27" ht="13.5" thickBot="1">
      <c r="B10" s="7"/>
      <c r="C10" s="96"/>
      <c r="D10" s="99"/>
      <c r="E10" s="99"/>
      <c r="F10" s="5"/>
      <c r="G10" s="5"/>
      <c r="H10" s="15" t="s">
        <v>11</v>
      </c>
      <c r="I10" s="65"/>
      <c r="J10" s="65"/>
      <c r="K10" s="99"/>
      <c r="L10" s="99"/>
      <c r="M10" s="99"/>
      <c r="N10" s="99"/>
      <c r="O10" s="99"/>
      <c r="P10" s="99"/>
      <c r="Q10" s="99"/>
      <c r="R10" s="99"/>
      <c r="S10" s="99"/>
      <c r="T10" s="99"/>
      <c r="U10" s="91"/>
      <c r="V10" s="68"/>
      <c r="W10" s="68"/>
      <c r="X10" s="68"/>
      <c r="Y10" s="68"/>
      <c r="Z10" s="68"/>
      <c r="AA10" s="7"/>
    </row>
    <row r="11" spans="2:27" ht="13.5" thickBot="1">
      <c r="B11" s="7"/>
      <c r="C11" s="100"/>
      <c r="D11" s="65"/>
      <c r="E11" s="65"/>
      <c r="F11" s="5"/>
      <c r="G11" s="5"/>
      <c r="H11" s="15" t="s">
        <v>12</v>
      </c>
      <c r="I11" s="65"/>
      <c r="J11" s="65"/>
      <c r="K11" s="99"/>
      <c r="L11" s="99"/>
      <c r="M11" s="99"/>
      <c r="N11" s="99"/>
      <c r="O11" s="99"/>
      <c r="P11" s="99"/>
      <c r="Q11" s="99"/>
      <c r="R11" s="99"/>
      <c r="S11" s="99"/>
      <c r="T11" s="99"/>
      <c r="U11" s="91"/>
      <c r="V11" s="68"/>
      <c r="W11" s="68"/>
      <c r="X11" s="68"/>
      <c r="Y11" s="68"/>
      <c r="Z11" s="68"/>
      <c r="AA11" s="7"/>
    </row>
    <row r="12" spans="2:27" ht="13.5" thickBot="1">
      <c r="B12" s="7"/>
      <c r="C12" s="100"/>
      <c r="D12" s="65"/>
      <c r="E12" s="65"/>
      <c r="F12" s="5"/>
      <c r="G12" s="5"/>
      <c r="H12" s="15" t="s">
        <v>13</v>
      </c>
      <c r="I12" s="65"/>
      <c r="J12" s="65"/>
      <c r="K12" s="99"/>
      <c r="L12" s="99"/>
      <c r="M12" s="99"/>
      <c r="N12" s="99"/>
      <c r="O12" s="99"/>
      <c r="P12" s="99"/>
      <c r="Q12" s="99"/>
      <c r="R12" s="99"/>
      <c r="S12" s="99"/>
      <c r="T12" s="99"/>
      <c r="U12" s="91"/>
      <c r="V12" s="68"/>
      <c r="W12" s="68"/>
      <c r="X12" s="68"/>
      <c r="Y12" s="68"/>
      <c r="Z12" s="68"/>
      <c r="AA12" s="7"/>
    </row>
    <row r="13" spans="2:27" ht="13.5" thickBot="1">
      <c r="B13" s="7"/>
      <c r="C13" s="100"/>
      <c r="D13" s="65"/>
      <c r="E13" s="65"/>
      <c r="F13" s="5"/>
      <c r="G13" s="5"/>
      <c r="H13" s="15" t="s">
        <v>14</v>
      </c>
      <c r="I13" s="99"/>
      <c r="J13" s="99"/>
      <c r="K13" s="99"/>
      <c r="L13" s="99"/>
      <c r="M13" s="99"/>
      <c r="N13" s="99"/>
      <c r="O13" s="99"/>
      <c r="P13" s="99"/>
      <c r="Q13" s="99"/>
      <c r="R13" s="99"/>
      <c r="S13" s="99"/>
      <c r="T13" s="99"/>
      <c r="U13" s="91"/>
      <c r="V13" s="68"/>
      <c r="W13" s="68"/>
      <c r="X13" s="68"/>
      <c r="Y13" s="68"/>
      <c r="Z13" s="68"/>
      <c r="AA13" s="7"/>
    </row>
    <row r="14" spans="2:27" ht="13.5" thickBot="1">
      <c r="B14" s="7"/>
      <c r="C14" s="100"/>
      <c r="D14" s="65"/>
      <c r="E14" s="65"/>
      <c r="H14" s="15" t="s">
        <v>15</v>
      </c>
      <c r="I14" s="99"/>
      <c r="J14" s="99"/>
      <c r="K14" s="99"/>
      <c r="L14" s="99"/>
      <c r="M14" s="99"/>
      <c r="N14" s="99"/>
      <c r="O14" s="99"/>
      <c r="P14" s="99"/>
      <c r="Q14" s="99"/>
      <c r="R14" s="99"/>
      <c r="S14" s="99"/>
      <c r="T14" s="99"/>
      <c r="U14" s="91"/>
      <c r="V14" s="68"/>
      <c r="W14" s="68"/>
      <c r="X14" s="68"/>
      <c r="Y14" s="68"/>
      <c r="Z14" s="68"/>
      <c r="AA14" s="7"/>
    </row>
    <row r="15" spans="2:27" ht="13.5" customHeight="1" thickBot="1">
      <c r="B15" s="7"/>
      <c r="C15" s="100"/>
      <c r="D15" s="65"/>
      <c r="E15" s="65"/>
      <c r="U15" s="7"/>
      <c r="V15" s="68"/>
      <c r="W15" s="68"/>
      <c r="X15" s="68"/>
      <c r="Y15" s="68"/>
      <c r="Z15" s="68"/>
      <c r="AA15" s="7"/>
    </row>
    <row r="16" spans="2:27" ht="13.5" thickBot="1">
      <c r="B16" s="7"/>
      <c r="C16" s="100"/>
      <c r="D16" s="65"/>
      <c r="E16" s="65"/>
      <c r="H16" s="10" t="s">
        <v>112</v>
      </c>
      <c r="U16" s="7"/>
      <c r="V16" s="68"/>
      <c r="W16" s="68"/>
      <c r="X16" s="68"/>
      <c r="Y16" s="68"/>
      <c r="Z16" s="68"/>
      <c r="AA16" s="7"/>
    </row>
    <row r="17" spans="2:27" ht="13.5" thickBot="1">
      <c r="B17" s="7"/>
      <c r="C17" s="7"/>
      <c r="D17" s="7"/>
      <c r="E17" s="11"/>
      <c r="H17" s="107" t="str">
        <f>CONCATENATE("Концентрация ",Рабочий!H48," в образце, ",Рабочий!L48)</f>
        <v>Концентрация Т4-общ. в образце, нмоль/л</v>
      </c>
      <c r="I17" s="108"/>
      <c r="J17" s="108"/>
      <c r="K17" s="108"/>
      <c r="L17" s="108"/>
      <c r="M17" s="108"/>
      <c r="N17" s="108"/>
      <c r="O17" s="108"/>
      <c r="P17" s="108"/>
      <c r="Q17" s="108"/>
      <c r="R17" s="108"/>
      <c r="S17" s="108"/>
      <c r="T17" s="108"/>
      <c r="U17" s="91"/>
      <c r="V17" s="68"/>
      <c r="W17" s="68"/>
      <c r="X17" s="68"/>
      <c r="Y17" s="68"/>
      <c r="Z17" s="68"/>
      <c r="AA17" s="7"/>
    </row>
    <row r="18" spans="2:27" ht="13.5" thickBot="1">
      <c r="B18" s="7"/>
      <c r="C18" s="10" t="s">
        <v>110</v>
      </c>
      <c r="D18" s="7"/>
      <c r="E18" s="11"/>
      <c r="H18" s="76"/>
      <c r="I18" s="77">
        <v>1</v>
      </c>
      <c r="J18" s="77">
        <v>2</v>
      </c>
      <c r="K18" s="77">
        <v>3</v>
      </c>
      <c r="L18" s="77">
        <v>4</v>
      </c>
      <c r="M18" s="77">
        <v>5</v>
      </c>
      <c r="N18" s="77">
        <v>6</v>
      </c>
      <c r="O18" s="77">
        <v>7</v>
      </c>
      <c r="P18" s="77">
        <v>8</v>
      </c>
      <c r="Q18" s="77">
        <v>9</v>
      </c>
      <c r="R18" s="77">
        <v>10</v>
      </c>
      <c r="S18" s="77">
        <v>11</v>
      </c>
      <c r="T18" s="88">
        <v>12</v>
      </c>
      <c r="U18" s="91"/>
      <c r="V18" s="68"/>
      <c r="W18" s="68"/>
      <c r="X18" s="68"/>
      <c r="Y18" s="68"/>
      <c r="Z18" s="68"/>
      <c r="AA18" s="7"/>
    </row>
    <row r="19" spans="2:27" ht="13.5" thickBot="1">
      <c r="B19" s="7"/>
      <c r="C19" s="65"/>
      <c r="D19" s="7"/>
      <c r="E19" s="11"/>
      <c r="H19" s="78" t="s">
        <v>8</v>
      </c>
      <c r="I19" s="79" t="str">
        <f>IF(AND(OR(ISNUMBER(I7),ISNUMBER(J7)),(Рабочий!$E$17=1)),IF(AND(AVERAGE(I7:J7)&gt;=Рабочий!$A$34+Рабочий!$J$45*Рабочий!$L$45,Рабочий!$E$34+Рабочий!$J$45*Рабочий!$L$45&gt;=AVERAGE(I7:J7)),Рабочий!V84,IF(AVERAGE(I7:J7)&lt;Рабочий!$A$34+Рабочий!$J$45*Рабочий!$L$45,Рабочий!$M$48,Рабочий!$N$48)),"     ")</f>
        <v>     </v>
      </c>
      <c r="J19" s="84" t="str">
        <f>" "</f>
        <v> </v>
      </c>
      <c r="K19" s="79" t="str">
        <f>IF(AND(OR(ISNUMBER(K7),ISNUMBER(L7)),(Рабочий!$E$17=1)),IF(AND(AVERAGE(K7:L7)&gt;=Рабочий!$A$34+Рабочий!$J$45*Рабочий!$L$45,Рабочий!$E$34+Рабочий!$J$45*Рабочий!$L$45&gt;=AVERAGE(K7:L7)),Рабочий!X84,IF(AVERAGE(K7:L7)&lt;Рабочий!$A$34+Рабочий!$J$45*Рабочий!$L$45,Рабочий!$M$48,Рабочий!$N$48)),"     ")</f>
        <v>     </v>
      </c>
      <c r="L19" s="84" t="str">
        <f>" "</f>
        <v> </v>
      </c>
      <c r="M19" s="79" t="str">
        <f>IF(AND(OR(ISNUMBER(M7),ISNUMBER(N7)),(Рабочий!$E$17=1)),IF(AND(AVERAGE(M7:N7)&gt;=Рабочий!$A$34+Рабочий!$J$45*Рабочий!$L$45,Рабочий!$E$34+Рабочий!$J$45*Рабочий!$L$45&gt;=AVERAGE(M7:N7)),Рабочий!Z84,IF(AVERAGE(M7:N7)&lt;Рабочий!$A$34+Рабочий!$J$45*Рабочий!$L$45,Рабочий!$M$48,Рабочий!$N$48)),"     ")</f>
        <v>     </v>
      </c>
      <c r="N19" s="84" t="str">
        <f>" "</f>
        <v> </v>
      </c>
      <c r="O19" s="79" t="str">
        <f>IF(AND(OR(ISNUMBER(O7),ISNUMBER(P7)),(Рабочий!$E$17=1)),IF(AND(AVERAGE(O7:P7)&gt;=Рабочий!$A$34+Рабочий!$J$45*Рабочий!$L$45,Рабочий!$E$34+Рабочий!$J$45*Рабочий!$L$45&gt;=AVERAGE(O7:P7)),Рабочий!AB84,IF(AVERAGE(O7:P7)&lt;Рабочий!$A$34+Рабочий!$J$45*Рабочий!$L$45,Рабочий!$M$48,Рабочий!$N$48)),"     ")</f>
        <v>     </v>
      </c>
      <c r="P19" s="84" t="str">
        <f>" "</f>
        <v> </v>
      </c>
      <c r="Q19" s="79" t="str">
        <f>IF(AND(OR(ISNUMBER(Q7),ISNUMBER(R7)),(Рабочий!$E$17=1)),IF(AND(AVERAGE(Q7:R7)&gt;=Рабочий!$A$34+Рабочий!$J$45*Рабочий!$L$45,Рабочий!$E$34+Рабочий!$J$45*Рабочий!$L$45&gt;=AVERAGE(Q7:R7)),Рабочий!AD84,IF(AVERAGE(Q7:R7)&lt;Рабочий!$A$34+Рабочий!$J$45*Рабочий!$L$45,Рабочий!$M$48,Рабочий!$N$48)),"     ")</f>
        <v>     </v>
      </c>
      <c r="R19" s="84" t="str">
        <f>" "</f>
        <v> </v>
      </c>
      <c r="S19" s="79" t="str">
        <f>IF(AND(OR(ISNUMBER(S7),ISNUMBER(T7)),(Рабочий!$E$17=1)),IF(AND(AVERAGE(S7:T7)&gt;=Рабочий!$A$34+Рабочий!$J$45*Рабочий!$L$45,Рабочий!$E$34+Рабочий!$J$45*Рабочий!$L$45&gt;=AVERAGE(S7:T7)),Рабочий!AF84,IF(AVERAGE(S7:T7)&lt;Рабочий!$A$34+Рабочий!$J$45*Рабочий!$L$45,Рабочий!$M$48,Рабочий!$N$48)),"     ")</f>
        <v>     </v>
      </c>
      <c r="T19" s="89" t="str">
        <f>" "</f>
        <v> </v>
      </c>
      <c r="U19" s="93" t="str">
        <f>" "</f>
        <v> </v>
      </c>
      <c r="V19" s="68"/>
      <c r="W19" s="68"/>
      <c r="X19" s="68"/>
      <c r="Y19" s="68"/>
      <c r="Z19" s="68"/>
      <c r="AA19" s="7"/>
    </row>
    <row r="20" spans="2:27" ht="13.5" thickBot="1">
      <c r="B20" s="7"/>
      <c r="C20" s="65"/>
      <c r="D20" s="7"/>
      <c r="E20" s="11"/>
      <c r="H20" s="78" t="s">
        <v>9</v>
      </c>
      <c r="I20" s="79" t="str">
        <f>IF(AND(OR(ISNUMBER(I8),ISNUMBER(J8)),(Рабочий!$E$17=1)),IF(AND(AVERAGE(I8:J8)&gt;=Рабочий!$A$34+Рабочий!$J$45*Рабочий!$L$45,Рабочий!$E$34+Рабочий!$J$45*Рабочий!$L$45&gt;=AVERAGE(I8:J8)),Рабочий!V85,IF(AVERAGE(I8:J8)&lt;Рабочий!$A$34+Рабочий!$J$45*Рабочий!$L$45,Рабочий!$M$48,Рабочий!$N$48)),"     ")</f>
        <v>     </v>
      </c>
      <c r="J20" s="85" t="str">
        <f aca="true" t="shared" si="0" ref="J20:T26">" "</f>
        <v> </v>
      </c>
      <c r="K20" s="79" t="str">
        <f>IF(AND(OR(ISNUMBER(K8),ISNUMBER(L8)),(Рабочий!$E$17=1)),IF(AND(AVERAGE(K8:L8)&gt;=Рабочий!$A$34+Рабочий!$J$45*Рабочий!$L$45,Рабочий!$E$34+Рабочий!$J$45*Рабочий!$L$45&gt;=AVERAGE(K8:L8)),Рабочий!X85,IF(AVERAGE(K8:L8)&lt;Рабочий!$A$34+Рабочий!$J$45*Рабочий!$L$45,Рабочий!$M$48,Рабочий!$N$48)),"     ")</f>
        <v>     </v>
      </c>
      <c r="L20" s="85" t="str">
        <f t="shared" si="0"/>
        <v> </v>
      </c>
      <c r="M20" s="79" t="str">
        <f>IF(AND(OR(ISNUMBER(M8),ISNUMBER(N8)),(Рабочий!$E$17=1)),IF(AND(AVERAGE(M8:N8)&gt;=Рабочий!$A$34+Рабочий!$J$45*Рабочий!$L$45,Рабочий!$E$34+Рабочий!$J$45*Рабочий!$L$45&gt;=AVERAGE(M8:N8)),Рабочий!Z85,IF(AVERAGE(M8:N8)&lt;Рабочий!$A$34+Рабочий!$J$45*Рабочий!$L$45,Рабочий!$M$48,Рабочий!$N$48)),"     ")</f>
        <v>     </v>
      </c>
      <c r="N20" s="85" t="str">
        <f t="shared" si="0"/>
        <v> </v>
      </c>
      <c r="O20" s="79" t="str">
        <f>IF(AND(OR(ISNUMBER(O8),ISNUMBER(P8)),(Рабочий!$E$17=1)),IF(AND(AVERAGE(O8:P8)&gt;=Рабочий!$A$34+Рабочий!$J$45*Рабочий!$L$45,Рабочий!$E$34+Рабочий!$J$45*Рабочий!$L$45&gt;=AVERAGE(O8:P8)),Рабочий!AB85,IF(AVERAGE(O8:P8)&lt;Рабочий!$A$34+Рабочий!$J$45*Рабочий!$L$45,Рабочий!$M$48,Рабочий!$N$48)),"     ")</f>
        <v>     </v>
      </c>
      <c r="P20" s="85" t="str">
        <f t="shared" si="0"/>
        <v> </v>
      </c>
      <c r="Q20" s="79" t="str">
        <f>IF(AND(OR(ISNUMBER(Q8),ISNUMBER(R8)),(Рабочий!$E$17=1)),IF(AND(AVERAGE(Q8:R8)&gt;=Рабочий!$A$34+Рабочий!$J$45*Рабочий!$L$45,Рабочий!$E$34+Рабочий!$J$45*Рабочий!$L$45&gt;=AVERAGE(Q8:R8)),Рабочий!AD85,IF(AVERAGE(Q8:R8)&lt;Рабочий!$A$34+Рабочий!$J$45*Рабочий!$L$45,Рабочий!$M$48,Рабочий!$N$48)),"     ")</f>
        <v>     </v>
      </c>
      <c r="R20" s="85" t="str">
        <f t="shared" si="0"/>
        <v> </v>
      </c>
      <c r="S20" s="79" t="str">
        <f>IF(AND(OR(ISNUMBER(S8),ISNUMBER(T8)),(Рабочий!$E$17=1)),IF(AND(AVERAGE(S8:T8)&gt;=Рабочий!$A$34+Рабочий!$J$45*Рабочий!$L$45,Рабочий!$E$34+Рабочий!$J$45*Рабочий!$L$45&gt;=AVERAGE(S8:T8)),Рабочий!AF85,IF(AVERAGE(S8:T8)&lt;Рабочий!$A$34+Рабочий!$J$45*Рабочий!$L$45,Рабочий!$M$48,Рабочий!$N$48)),"     ")</f>
        <v>     </v>
      </c>
      <c r="T20" s="90" t="str">
        <f t="shared" si="0"/>
        <v> </v>
      </c>
      <c r="U20" s="91"/>
      <c r="V20" s="68"/>
      <c r="W20" s="68"/>
      <c r="X20" s="68"/>
      <c r="Y20" s="68"/>
      <c r="Z20" s="68"/>
      <c r="AA20" s="7"/>
    </row>
    <row r="21" spans="2:27" ht="12.75" customHeight="1" thickBot="1">
      <c r="B21" s="26"/>
      <c r="C21" s="65"/>
      <c r="D21" s="26"/>
      <c r="E21" s="26"/>
      <c r="H21" s="78" t="s">
        <v>10</v>
      </c>
      <c r="I21" s="79" t="str">
        <f>IF(AND(OR(ISNUMBER(I9),ISNUMBER(J9)),(Рабочий!$E$17=1)),IF(AND(AVERAGE(I9:J9)&gt;=Рабочий!$A$34+Рабочий!$J$45*Рабочий!$L$45,Рабочий!$E$34+Рабочий!$J$45*Рабочий!$L$45&gt;=AVERAGE(I9:J9)),Рабочий!V86,IF(AVERAGE(I9:J9)&lt;Рабочий!$A$34+Рабочий!$J$45*Рабочий!$L$45,Рабочий!$M$48,Рабочий!$N$48)),"     ")</f>
        <v>     </v>
      </c>
      <c r="J21" s="85" t="str">
        <f t="shared" si="0"/>
        <v> </v>
      </c>
      <c r="K21" s="79" t="str">
        <f>IF(AND(OR(ISNUMBER(K9),ISNUMBER(L9)),(Рабочий!$E$17=1)),IF(AND(AVERAGE(K9:L9)&gt;=Рабочий!$A$34+Рабочий!$J$45*Рабочий!$L$45,Рабочий!$E$34+Рабочий!$J$45*Рабочий!$L$45&gt;=AVERAGE(K9:L9)),Рабочий!X86,IF(AVERAGE(K9:L9)&lt;Рабочий!$A$34+Рабочий!$J$45*Рабочий!$L$45,Рабочий!$M$48,Рабочий!$N$48)),"     ")</f>
        <v>     </v>
      </c>
      <c r="L21" s="85" t="str">
        <f t="shared" si="0"/>
        <v> </v>
      </c>
      <c r="M21" s="79" t="str">
        <f>IF(AND(OR(ISNUMBER(M9),ISNUMBER(N9)),(Рабочий!$E$17=1)),IF(AND(AVERAGE(M9:N9)&gt;=Рабочий!$A$34+Рабочий!$J$45*Рабочий!$L$45,Рабочий!$E$34+Рабочий!$J$45*Рабочий!$L$45&gt;=AVERAGE(M9:N9)),Рабочий!Z86,IF(AVERAGE(M9:N9)&lt;Рабочий!$A$34+Рабочий!$J$45*Рабочий!$L$45,Рабочий!$M$48,Рабочий!$N$48)),"     ")</f>
        <v>     </v>
      </c>
      <c r="N21" s="85" t="str">
        <f t="shared" si="0"/>
        <v> </v>
      </c>
      <c r="O21" s="79" t="str">
        <f>IF(AND(OR(ISNUMBER(O9),ISNUMBER(P9)),(Рабочий!$E$17=1)),IF(AND(AVERAGE(O9:P9)&gt;=Рабочий!$A$34+Рабочий!$J$45*Рабочий!$L$45,Рабочий!$E$34+Рабочий!$J$45*Рабочий!$L$45&gt;=AVERAGE(O9:P9)),Рабочий!AB86,IF(AVERAGE(O9:P9)&lt;Рабочий!$A$34+Рабочий!$J$45*Рабочий!$L$45,Рабочий!$M$48,Рабочий!$N$48)),"     ")</f>
        <v>     </v>
      </c>
      <c r="P21" s="85" t="str">
        <f t="shared" si="0"/>
        <v> </v>
      </c>
      <c r="Q21" s="79" t="str">
        <f>IF(AND(OR(ISNUMBER(Q9),ISNUMBER(R9)),(Рабочий!$E$17=1)),IF(AND(AVERAGE(Q9:R9)&gt;=Рабочий!$A$34+Рабочий!$J$45*Рабочий!$L$45,Рабочий!$E$34+Рабочий!$J$45*Рабочий!$L$45&gt;=AVERAGE(Q9:R9)),Рабочий!AD86,IF(AVERAGE(Q9:R9)&lt;Рабочий!$A$34+Рабочий!$J$45*Рабочий!$L$45,Рабочий!$M$48,Рабочий!$N$48)),"     ")</f>
        <v>     </v>
      </c>
      <c r="R21" s="85" t="str">
        <f t="shared" si="0"/>
        <v> </v>
      </c>
      <c r="S21" s="79" t="str">
        <f>IF(AND(OR(ISNUMBER(S9),ISNUMBER(T9)),(Рабочий!$E$17=1)),IF(AND(AVERAGE(S9:T9)&gt;=Рабочий!$A$34+Рабочий!$J$45*Рабочий!$L$45,Рабочий!$E$34+Рабочий!$J$45*Рабочий!$L$45&gt;=AVERAGE(S9:T9)),Рабочий!AF86,IF(AVERAGE(S9:T9)&lt;Рабочий!$A$34+Рабочий!$J$45*Рабочий!$L$45,Рабочий!$M$48,Рабочий!$N$48)),"     ")</f>
        <v>     </v>
      </c>
      <c r="T21" s="90" t="str">
        <f t="shared" si="0"/>
        <v> </v>
      </c>
      <c r="U21" s="91"/>
      <c r="V21" s="68"/>
      <c r="W21" s="68"/>
      <c r="X21" s="68"/>
      <c r="Y21" s="68"/>
      <c r="Z21" s="68"/>
      <c r="AA21" s="7"/>
    </row>
    <row r="22" spans="2:27" ht="13.5" thickBot="1">
      <c r="B22" s="26"/>
      <c r="C22" s="65"/>
      <c r="D22" s="26"/>
      <c r="E22" s="26"/>
      <c r="H22" s="78" t="s">
        <v>11</v>
      </c>
      <c r="I22" s="79" t="str">
        <f>IF(AND(OR(ISNUMBER(I10),ISNUMBER(J10)),(Рабочий!$E$17=1)),IF(AND(AVERAGE(I10:J10)&gt;=Рабочий!$A$34+Рабочий!$J$45*Рабочий!$L$45,Рабочий!$E$34+Рабочий!$J$45*Рабочий!$L$45&gt;=AVERAGE(I10:J10)),Рабочий!V87,IF(AVERAGE(I10:J10)&lt;Рабочий!$A$34+Рабочий!$J$45*Рабочий!$L$45,Рабочий!$M$48,Рабочий!$N$48)),"     ")</f>
        <v>     </v>
      </c>
      <c r="J22" s="85" t="str">
        <f t="shared" si="0"/>
        <v> </v>
      </c>
      <c r="K22" s="79" t="str">
        <f>IF(AND(OR(ISNUMBER(K10),ISNUMBER(L10)),(Рабочий!$E$17=1)),IF(AND(AVERAGE(K10:L10)&gt;=Рабочий!$A$34+Рабочий!$J$45*Рабочий!$L$45,Рабочий!$E$34+Рабочий!$J$45*Рабочий!$L$45&gt;=AVERAGE(K10:L10)),Рабочий!X87,IF(AVERAGE(K10:L10)&lt;Рабочий!$A$34+Рабочий!$J$45*Рабочий!$L$45,Рабочий!$M$48,Рабочий!$N$48)),"     ")</f>
        <v>     </v>
      </c>
      <c r="L22" s="85" t="str">
        <f t="shared" si="0"/>
        <v> </v>
      </c>
      <c r="M22" s="79" t="str">
        <f>IF(AND(OR(ISNUMBER(M10),ISNUMBER(N10)),(Рабочий!$E$17=1)),IF(AND(AVERAGE(M10:N10)&gt;=Рабочий!$A$34+Рабочий!$J$45*Рабочий!$L$45,Рабочий!$E$34+Рабочий!$J$45*Рабочий!$L$45&gt;=AVERAGE(M10:N10)),Рабочий!Z87,IF(AVERAGE(M10:N10)&lt;Рабочий!$A$34+Рабочий!$J$45*Рабочий!$L$45,Рабочий!$M$48,Рабочий!$N$48)),"     ")</f>
        <v>     </v>
      </c>
      <c r="N22" s="85" t="str">
        <f t="shared" si="0"/>
        <v> </v>
      </c>
      <c r="O22" s="79" t="str">
        <f>IF(AND(OR(ISNUMBER(O10),ISNUMBER(P10)),(Рабочий!$E$17=1)),IF(AND(AVERAGE(O10:P10)&gt;=Рабочий!$A$34+Рабочий!$J$45*Рабочий!$L$45,Рабочий!$E$34+Рабочий!$J$45*Рабочий!$L$45&gt;=AVERAGE(O10:P10)),Рабочий!AB87,IF(AVERAGE(O10:P10)&lt;Рабочий!$A$34+Рабочий!$J$45*Рабочий!$L$45,Рабочий!$M$48,Рабочий!$N$48)),"     ")</f>
        <v>     </v>
      </c>
      <c r="P22" s="85" t="str">
        <f t="shared" si="0"/>
        <v> </v>
      </c>
      <c r="Q22" s="79" t="str">
        <f>IF(AND(OR(ISNUMBER(Q10),ISNUMBER(R10)),(Рабочий!$E$17=1)),IF(AND(AVERAGE(Q10:R10)&gt;=Рабочий!$A$34+Рабочий!$J$45*Рабочий!$L$45,Рабочий!$E$34+Рабочий!$J$45*Рабочий!$L$45&gt;=AVERAGE(Q10:R10)),Рабочий!AD87,IF(AVERAGE(Q10:R10)&lt;Рабочий!$A$34+Рабочий!$J$45*Рабочий!$L$45,Рабочий!$M$48,Рабочий!$N$48)),"     ")</f>
        <v>     </v>
      </c>
      <c r="R22" s="85" t="str">
        <f t="shared" si="0"/>
        <v> </v>
      </c>
      <c r="S22" s="79" t="str">
        <f>IF(AND(OR(ISNUMBER(S10),ISNUMBER(T10)),(Рабочий!$E$17=1)),IF(AND(AVERAGE(S10:T10)&gt;=Рабочий!$A$34+Рабочий!$J$45*Рабочий!$L$45,Рабочий!$E$34+Рабочий!$J$45*Рабочий!$L$45&gt;=AVERAGE(S10:T10)),Рабочий!AF87,IF(AVERAGE(S10:T10)&lt;Рабочий!$A$34+Рабочий!$J$45*Рабочий!$L$45,Рабочий!$M$48,Рабочий!$N$48)),"     ")</f>
        <v>     </v>
      </c>
      <c r="T22" s="90" t="str">
        <f t="shared" si="0"/>
        <v> </v>
      </c>
      <c r="U22" s="91"/>
      <c r="V22" s="68"/>
      <c r="W22" s="68"/>
      <c r="X22" s="68"/>
      <c r="Y22" s="68"/>
      <c r="Z22" s="68"/>
      <c r="AA22" s="7"/>
    </row>
    <row r="23" spans="2:27" ht="13.5" thickBot="1">
      <c r="B23" s="26"/>
      <c r="C23" s="26"/>
      <c r="D23" s="26"/>
      <c r="E23" s="26"/>
      <c r="H23" s="78" t="s">
        <v>12</v>
      </c>
      <c r="I23" s="79" t="str">
        <f>IF(AND(OR(ISNUMBER(I11),ISNUMBER(J11)),(Рабочий!$E$17=1)),IF(AND(AVERAGE(I11:J11)&gt;=Рабочий!$A$34+Рабочий!$J$45*Рабочий!$L$45,Рабочий!$E$34+Рабочий!$J$45*Рабочий!$L$45&gt;=AVERAGE(I11:J11)),Рабочий!V88,IF(AVERAGE(I11:J11)&lt;Рабочий!$A$34+Рабочий!$J$45*Рабочий!$L$45,Рабочий!$M$48,Рабочий!$N$48)),"     ")</f>
        <v>     </v>
      </c>
      <c r="J23" s="85" t="str">
        <f t="shared" si="0"/>
        <v> </v>
      </c>
      <c r="K23" s="79" t="str">
        <f>IF(AND(OR(ISNUMBER(K11),ISNUMBER(L11)),(Рабочий!$E$17=1)),IF(AND(AVERAGE(K11:L11)&gt;=Рабочий!$A$34+Рабочий!$J$45*Рабочий!$L$45,Рабочий!$E$34+Рабочий!$J$45*Рабочий!$L$45&gt;=AVERAGE(K11:L11)),Рабочий!X88,IF(AVERAGE(K11:L11)&lt;Рабочий!$A$34+Рабочий!$J$45*Рабочий!$L$45,Рабочий!$M$48,Рабочий!$N$48)),"     ")</f>
        <v>     </v>
      </c>
      <c r="L23" s="85" t="str">
        <f t="shared" si="0"/>
        <v> </v>
      </c>
      <c r="M23" s="79" t="str">
        <f>IF(AND(OR(ISNUMBER(M11),ISNUMBER(N11)),(Рабочий!$E$17=1)),IF(AND(AVERAGE(M11:N11)&gt;=Рабочий!$A$34+Рабочий!$J$45*Рабочий!$L$45,Рабочий!$E$34+Рабочий!$J$45*Рабочий!$L$45&gt;=AVERAGE(M11:N11)),Рабочий!Z88,IF(AVERAGE(M11:N11)&lt;Рабочий!$A$34+Рабочий!$J$45*Рабочий!$L$45,Рабочий!$M$48,Рабочий!$N$48)),"     ")</f>
        <v>     </v>
      </c>
      <c r="N23" s="85" t="str">
        <f t="shared" si="0"/>
        <v> </v>
      </c>
      <c r="O23" s="79" t="str">
        <f>IF(AND(OR(ISNUMBER(O11),ISNUMBER(P11)),(Рабочий!$E$17=1)),IF(AND(AVERAGE(O11:P11)&gt;=Рабочий!$A$34+Рабочий!$J$45*Рабочий!$L$45,Рабочий!$E$34+Рабочий!$J$45*Рабочий!$L$45&gt;=AVERAGE(O11:P11)),Рабочий!AB88,IF(AVERAGE(O11:P11)&lt;Рабочий!$A$34+Рабочий!$J$45*Рабочий!$L$45,Рабочий!$M$48,Рабочий!$N$48)),"     ")</f>
        <v>     </v>
      </c>
      <c r="P23" s="85" t="str">
        <f t="shared" si="0"/>
        <v> </v>
      </c>
      <c r="Q23" s="79" t="str">
        <f>IF(AND(OR(ISNUMBER(Q11),ISNUMBER(R11)),(Рабочий!$E$17=1)),IF(AND(AVERAGE(Q11:R11)&gt;=Рабочий!$A$34+Рабочий!$J$45*Рабочий!$L$45,Рабочий!$E$34+Рабочий!$J$45*Рабочий!$L$45&gt;=AVERAGE(Q11:R11)),Рабочий!AD88,IF(AVERAGE(Q11:R11)&lt;Рабочий!$A$34+Рабочий!$J$45*Рабочий!$L$45,Рабочий!$M$48,Рабочий!$N$48)),"     ")</f>
        <v>     </v>
      </c>
      <c r="R23" s="85" t="str">
        <f t="shared" si="0"/>
        <v> </v>
      </c>
      <c r="S23" s="79" t="str">
        <f>IF(AND(OR(ISNUMBER(S11),ISNUMBER(T11)),(Рабочий!$E$17=1)),IF(AND(AVERAGE(S11:T11)&gt;=Рабочий!$A$34+Рабочий!$J$45*Рабочий!$L$45,Рабочий!$E$34+Рабочий!$J$45*Рабочий!$L$45&gt;=AVERAGE(S11:T11)),Рабочий!AF88,IF(AVERAGE(S11:T11)&lt;Рабочий!$A$34+Рабочий!$J$45*Рабочий!$L$45,Рабочий!$M$48,Рабочий!$N$48)),"     ")</f>
        <v>     </v>
      </c>
      <c r="T23" s="90" t="str">
        <f t="shared" si="0"/>
        <v> </v>
      </c>
      <c r="U23" s="91"/>
      <c r="V23" s="68"/>
      <c r="W23" s="68"/>
      <c r="X23" s="68"/>
      <c r="Y23" s="68"/>
      <c r="Z23" s="68"/>
      <c r="AA23" s="7"/>
    </row>
    <row r="24" spans="6:27" ht="12.75" customHeight="1" thickBot="1">
      <c r="F24" s="12"/>
      <c r="H24" s="78" t="s">
        <v>13</v>
      </c>
      <c r="I24" s="79" t="str">
        <f>IF(AND(OR(ISNUMBER(I12),ISNUMBER(J12)),(Рабочий!$E$17=1)),IF(AND(AVERAGE(I12:J12)&gt;=Рабочий!$A$34+Рабочий!$J$45*Рабочий!$L$45,Рабочий!$E$34+Рабочий!$J$45*Рабочий!$L$45&gt;=AVERAGE(I12:J12)),Рабочий!V89,IF(AVERAGE(I12:J12)&lt;Рабочий!$A$34+Рабочий!$J$45*Рабочий!$L$45,Рабочий!$M$48,Рабочий!$N$48)),"     ")</f>
        <v>     </v>
      </c>
      <c r="J24" s="85" t="str">
        <f t="shared" si="0"/>
        <v> </v>
      </c>
      <c r="K24" s="79" t="str">
        <f>IF(AND(OR(ISNUMBER(K12),ISNUMBER(L12)),(Рабочий!$E$17=1)),IF(AND(AVERAGE(K12:L12)&gt;=Рабочий!$A$34+Рабочий!$J$45*Рабочий!$L$45,Рабочий!$E$34+Рабочий!$J$45*Рабочий!$L$45&gt;=AVERAGE(K12:L12)),Рабочий!X89,IF(AVERAGE(K12:L12)&lt;Рабочий!$A$34+Рабочий!$J$45*Рабочий!$L$45,Рабочий!$M$48,Рабочий!$N$48)),"     ")</f>
        <v>     </v>
      </c>
      <c r="L24" s="85" t="str">
        <f t="shared" si="0"/>
        <v> </v>
      </c>
      <c r="M24" s="79" t="str">
        <f>IF(AND(OR(ISNUMBER(M12),ISNUMBER(N12)),(Рабочий!$E$17=1)),IF(AND(AVERAGE(M12:N12)&gt;=Рабочий!$A$34+Рабочий!$J$45*Рабочий!$L$45,Рабочий!$E$34+Рабочий!$J$45*Рабочий!$L$45&gt;=AVERAGE(M12:N12)),Рабочий!Z89,IF(AVERAGE(M12:N12)&lt;Рабочий!$A$34+Рабочий!$J$45*Рабочий!$L$45,Рабочий!$M$48,Рабочий!$N$48)),"     ")</f>
        <v>     </v>
      </c>
      <c r="N24" s="85" t="str">
        <f t="shared" si="0"/>
        <v> </v>
      </c>
      <c r="O24" s="79" t="str">
        <f>IF(AND(OR(ISNUMBER(O12),ISNUMBER(P12)),(Рабочий!$E$17=1)),IF(AND(AVERAGE(O12:P12)&gt;=Рабочий!$A$34+Рабочий!$J$45*Рабочий!$L$45,Рабочий!$E$34+Рабочий!$J$45*Рабочий!$L$45&gt;=AVERAGE(O12:P12)),Рабочий!AB89,IF(AVERAGE(O12:P12)&lt;Рабочий!$A$34+Рабочий!$J$45*Рабочий!$L$45,Рабочий!$M$48,Рабочий!$N$48)),"     ")</f>
        <v>     </v>
      </c>
      <c r="P24" s="85" t="str">
        <f t="shared" si="0"/>
        <v> </v>
      </c>
      <c r="Q24" s="79" t="str">
        <f>IF(AND(OR(ISNUMBER(Q12),ISNUMBER(R12)),(Рабочий!$E$17=1)),IF(AND(AVERAGE(Q12:R12)&gt;=Рабочий!$A$34+Рабочий!$J$45*Рабочий!$L$45,Рабочий!$E$34+Рабочий!$J$45*Рабочий!$L$45&gt;=AVERAGE(Q12:R12)),Рабочий!AD89,IF(AVERAGE(Q12:R12)&lt;Рабочий!$A$34+Рабочий!$J$45*Рабочий!$L$45,Рабочий!$M$48,Рабочий!$N$48)),"     ")</f>
        <v>     </v>
      </c>
      <c r="R24" s="85" t="str">
        <f t="shared" si="0"/>
        <v> </v>
      </c>
      <c r="S24" s="79" t="str">
        <f>IF(AND(OR(ISNUMBER(S12),ISNUMBER(T12)),(Рабочий!$E$17=1)),IF(AND(AVERAGE(S12:T12)&gt;=Рабочий!$A$34+Рабочий!$J$45*Рабочий!$L$45,Рабочий!$E$34+Рабочий!$J$45*Рабочий!$L$45&gt;=AVERAGE(S12:T12)),Рабочий!AF89,IF(AVERAGE(S12:T12)&lt;Рабочий!$A$34+Рабочий!$J$45*Рабочий!$L$45,Рабочий!$M$48,Рабочий!$N$48)),"     ")</f>
        <v>     </v>
      </c>
      <c r="T24" s="90" t="str">
        <f t="shared" si="0"/>
        <v> </v>
      </c>
      <c r="U24" s="91"/>
      <c r="V24" s="68"/>
      <c r="W24" s="68"/>
      <c r="X24" s="68"/>
      <c r="Y24" s="68"/>
      <c r="Z24" s="68"/>
      <c r="AA24" s="7"/>
    </row>
    <row r="25" spans="8:27" ht="13.5" thickBot="1">
      <c r="H25" s="78" t="s">
        <v>14</v>
      </c>
      <c r="I25" s="79" t="str">
        <f>IF(AND(OR(ISNUMBER(I13),ISNUMBER(J13)),(Рабочий!$E$17=1)),IF(AND(AVERAGE(I13:J13)&gt;=Рабочий!$A$34+Рабочий!$J$45*Рабочий!$L$45,Рабочий!$E$34+Рабочий!$J$45*Рабочий!$L$45&gt;=AVERAGE(I13:J13)),Рабочий!V90,IF(AVERAGE(I13:J13)&lt;Рабочий!$A$34+Рабочий!$J$45*Рабочий!$L$45,Рабочий!$M$48,Рабочий!$N$48)),"     ")</f>
        <v>     </v>
      </c>
      <c r="J25" s="85" t="str">
        <f t="shared" si="0"/>
        <v> </v>
      </c>
      <c r="K25" s="79" t="str">
        <f>IF(AND(OR(ISNUMBER(K13),ISNUMBER(L13)),(Рабочий!$E$17=1)),IF(AND(AVERAGE(K13:L13)&gt;=Рабочий!$A$34+Рабочий!$J$45*Рабочий!$L$45,Рабочий!$E$34+Рабочий!$J$45*Рабочий!$L$45&gt;=AVERAGE(K13:L13)),Рабочий!X90,IF(AVERAGE(K13:L13)&lt;Рабочий!$A$34+Рабочий!$J$45*Рабочий!$L$45,Рабочий!$M$48,Рабочий!$N$48)),"     ")</f>
        <v>     </v>
      </c>
      <c r="L25" s="85" t="str">
        <f t="shared" si="0"/>
        <v> </v>
      </c>
      <c r="M25" s="79" t="str">
        <f>IF(AND(OR(ISNUMBER(M13),ISNUMBER(N13)),(Рабочий!$E$17=1)),IF(AND(AVERAGE(M13:N13)&gt;=Рабочий!$A$34+Рабочий!$J$45*Рабочий!$L$45,Рабочий!$E$34+Рабочий!$J$45*Рабочий!$L$45&gt;=AVERAGE(M13:N13)),Рабочий!Z90,IF(AVERAGE(M13:N13)&lt;Рабочий!$A$34+Рабочий!$J$45*Рабочий!$L$45,Рабочий!$M$48,Рабочий!$N$48)),"     ")</f>
        <v>     </v>
      </c>
      <c r="N25" s="85" t="str">
        <f t="shared" si="0"/>
        <v> </v>
      </c>
      <c r="O25" s="79" t="str">
        <f>IF(AND(OR(ISNUMBER(O13),ISNUMBER(P13)),(Рабочий!$E$17=1)),IF(AND(AVERAGE(O13:P13)&gt;=Рабочий!$A$34+Рабочий!$J$45*Рабочий!$L$45,Рабочий!$E$34+Рабочий!$J$45*Рабочий!$L$45&gt;=AVERAGE(O13:P13)),Рабочий!AB90,IF(AVERAGE(O13:P13)&lt;Рабочий!$A$34+Рабочий!$J$45*Рабочий!$L$45,Рабочий!$M$48,Рабочий!$N$48)),"     ")</f>
        <v>     </v>
      </c>
      <c r="P25" s="85" t="str">
        <f t="shared" si="0"/>
        <v> </v>
      </c>
      <c r="Q25" s="79" t="str">
        <f>IF(AND(OR(ISNUMBER(Q13),ISNUMBER(R13)),(Рабочий!$E$17=1)),IF(AND(AVERAGE(Q13:R13)&gt;=Рабочий!$A$34+Рабочий!$J$45*Рабочий!$L$45,Рабочий!$E$34+Рабочий!$J$45*Рабочий!$L$45&gt;=AVERAGE(Q13:R13)),Рабочий!AD90,IF(AVERAGE(Q13:R13)&lt;Рабочий!$A$34+Рабочий!$J$45*Рабочий!$L$45,Рабочий!$M$48,Рабочий!$N$48)),"     ")</f>
        <v>     </v>
      </c>
      <c r="R25" s="85" t="str">
        <f t="shared" si="0"/>
        <v> </v>
      </c>
      <c r="S25" s="79" t="str">
        <f>IF(AND(OR(ISNUMBER(S13),ISNUMBER(T13)),(Рабочий!$E$17=1)),IF(AND(AVERAGE(S13:T13)&gt;=Рабочий!$A$34+Рабочий!$J$45*Рабочий!$L$45,Рабочий!$E$34+Рабочий!$J$45*Рабочий!$L$45&gt;=AVERAGE(S13:T13)),Рабочий!AF90,IF(AVERAGE(S13:T13)&lt;Рабочий!$A$34+Рабочий!$J$45*Рабочий!$L$45,Рабочий!$M$48,Рабочий!$N$48)),"     ")</f>
        <v>     </v>
      </c>
      <c r="T25" s="90" t="str">
        <f t="shared" si="0"/>
        <v> </v>
      </c>
      <c r="U25" s="91"/>
      <c r="V25" s="7"/>
      <c r="W25" s="7"/>
      <c r="X25" s="7"/>
      <c r="Y25" s="7"/>
      <c r="Z25" s="7"/>
      <c r="AA25" s="7"/>
    </row>
    <row r="26" spans="8:21" ht="12.75" customHeight="1" thickBot="1">
      <c r="H26" s="78" t="s">
        <v>15</v>
      </c>
      <c r="I26" s="79" t="str">
        <f>IF(AND(OR(ISNUMBER(I14),ISNUMBER(J14)),(Рабочий!$E$17=1)),IF(AND(AVERAGE(I14:J14)&gt;=Рабочий!$A$34+Рабочий!$J$45*Рабочий!$L$45,Рабочий!$E$34+Рабочий!$J$45*Рабочий!$L$45&gt;=AVERAGE(I14:J14)),Рабочий!V91,IF(AVERAGE(I14:J14)&lt;Рабочий!$A$34+Рабочий!$J$45*Рабочий!$L$45,Рабочий!$M$48,Рабочий!$N$48)),"     ")</f>
        <v>     </v>
      </c>
      <c r="J26" s="86" t="str">
        <f t="shared" si="0"/>
        <v> </v>
      </c>
      <c r="K26" s="79" t="str">
        <f>IF(AND(OR(ISNUMBER(K14),ISNUMBER(L14)),(Рабочий!$E$17=1)),IF(AND(AVERAGE(K14:L14)&gt;=Рабочий!$A$34+Рабочий!$J$45*Рабочий!$L$45,Рабочий!$E$34+Рабочий!$J$45*Рабочий!$L$45&gt;=AVERAGE(K14:L14)),Рабочий!X91,IF(AVERAGE(K14:L14)&lt;Рабочий!$A$34+Рабочий!$J$45*Рабочий!$L$45,Рабочий!$M$48,Рабочий!$N$48)),"     ")</f>
        <v>     </v>
      </c>
      <c r="L26" s="86" t="str">
        <f t="shared" si="0"/>
        <v> </v>
      </c>
      <c r="M26" s="79" t="str">
        <f>IF(AND(OR(ISNUMBER(M14),ISNUMBER(N14)),(Рабочий!$E$17=1)),IF(AND(AVERAGE(M14:N14)&gt;=Рабочий!$A$34+Рабочий!$J$45*Рабочий!$L$45,Рабочий!$E$34+Рабочий!$J$45*Рабочий!$L$45&gt;=AVERAGE(M14:N14)),Рабочий!Z91,IF(AVERAGE(M14:N14)&lt;Рабочий!$A$34+Рабочий!$J$45*Рабочий!$L$45,Рабочий!$M$48,Рабочий!$N$48)),"     ")</f>
        <v>     </v>
      </c>
      <c r="N26" s="86" t="str">
        <f t="shared" si="0"/>
        <v> </v>
      </c>
      <c r="O26" s="79" t="str">
        <f>IF(AND(OR(ISNUMBER(O14),ISNUMBER(P14)),(Рабочий!$E$17=1)),IF(AND(AVERAGE(O14:P14)&gt;=Рабочий!$A$34+Рабочий!$J$45*Рабочий!$L$45,Рабочий!$E$34+Рабочий!$J$45*Рабочий!$L$45&gt;=AVERAGE(O14:P14)),Рабочий!AB91,IF(AVERAGE(O14:P14)&lt;Рабочий!$A$34+Рабочий!$J$45*Рабочий!$L$45,Рабочий!$M$48,Рабочий!$N$48)),"     ")</f>
        <v>     </v>
      </c>
      <c r="P26" s="86" t="str">
        <f t="shared" si="0"/>
        <v> </v>
      </c>
      <c r="Q26" s="79" t="str">
        <f>IF(AND(OR(ISNUMBER(Q14),ISNUMBER(R14)),(Рабочий!$E$17=1)),IF(AND(AVERAGE(Q14:R14)&gt;=Рабочий!$A$34+Рабочий!$J$45*Рабочий!$L$45,Рабочий!$E$34+Рабочий!$J$45*Рабочий!$L$45&gt;=AVERAGE(Q14:R14)),Рабочий!AD91,IF(AVERAGE(Q14:R14)&lt;Рабочий!$A$34+Рабочий!$J$45*Рабочий!$L$45,Рабочий!$M$48,Рабочий!$N$48)),"     ")</f>
        <v>     </v>
      </c>
      <c r="R26" s="86" t="str">
        <f t="shared" si="0"/>
        <v> </v>
      </c>
      <c r="S26" s="79" t="str">
        <f>IF(AND(OR(ISNUMBER(S14),ISNUMBER(T14)),(Рабочий!$E$17=1)),IF(AND(AVERAGE(S14:T14)&gt;=Рабочий!$A$34+Рабочий!$J$45*Рабочий!$L$45,Рабочий!$E$34+Рабочий!$J$45*Рабочий!$L$45&gt;=AVERAGE(S14:T14)),Рабочий!AF91,IF(AVERAGE(S14:T14)&lt;Рабочий!$A$34+Рабочий!$J$45*Рабочий!$L$45,Рабочий!$M$48,Рабочий!$N$48)),"     ")</f>
        <v>     </v>
      </c>
      <c r="T26" s="92" t="str">
        <f t="shared" si="0"/>
        <v> </v>
      </c>
      <c r="U26" s="91"/>
    </row>
    <row r="27" ht="12.75">
      <c r="F27" s="5"/>
    </row>
    <row r="28" spans="2:17" ht="12.75">
      <c r="B28" s="7"/>
      <c r="C28" s="7"/>
      <c r="D28" s="7"/>
      <c r="E28" s="7"/>
      <c r="I28" s="72"/>
      <c r="J28" s="74" t="str">
        <f>CONCATENATE("-сыворотки с пониженным содержанием ",Рабочий!$H$48)</f>
        <v>-сыворотки с пониженным содержанием Т4-общ.</v>
      </c>
      <c r="P28" s="17"/>
      <c r="Q28" s="14"/>
    </row>
    <row r="29" spans="2:10" ht="12.75">
      <c r="B29" s="7"/>
      <c r="C29" s="7"/>
      <c r="D29" s="7"/>
      <c r="E29" s="7"/>
      <c r="I29" s="73"/>
      <c r="J29" s="74" t="str">
        <f>CONCATENATE("-сыворотки с повышенным содержанием ",Рабочий!$H$48)</f>
        <v>-сыворотки с повышенным содержанием Т4-общ.</v>
      </c>
    </row>
    <row r="30" spans="2:5" ht="14.25" customHeight="1">
      <c r="B30" s="7"/>
      <c r="C30" s="7"/>
      <c r="D30" s="7"/>
      <c r="E30" s="7"/>
    </row>
    <row r="31" spans="2:7" ht="14.25" customHeight="1">
      <c r="B31" s="7"/>
      <c r="C31" s="71"/>
      <c r="D31" s="7"/>
      <c r="E31" s="7"/>
      <c r="G31" s="5"/>
    </row>
    <row r="32" spans="2:7" ht="14.25" customHeight="1">
      <c r="B32" s="7"/>
      <c r="C32" s="71"/>
      <c r="D32" s="7"/>
      <c r="E32" s="7"/>
      <c r="G32" s="5"/>
    </row>
    <row r="33" spans="2:7" ht="14.25" customHeight="1">
      <c r="B33" s="7"/>
      <c r="C33" s="71"/>
      <c r="D33" s="7"/>
      <c r="E33" s="7"/>
      <c r="G33" s="5"/>
    </row>
    <row r="34" spans="2:7" ht="14.25" customHeight="1">
      <c r="B34" s="7"/>
      <c r="C34" s="71"/>
      <c r="D34" s="7"/>
      <c r="E34" s="7"/>
      <c r="G34" s="5"/>
    </row>
    <row r="35" spans="2:7" ht="14.25" customHeight="1">
      <c r="B35" s="7"/>
      <c r="C35" s="71"/>
      <c r="D35" s="7"/>
      <c r="E35" s="7"/>
      <c r="G35" s="5"/>
    </row>
    <row r="36" spans="2:7" ht="14.25" customHeight="1">
      <c r="B36" s="7"/>
      <c r="C36" s="71"/>
      <c r="D36" s="7"/>
      <c r="E36" s="7"/>
      <c r="G36" s="5"/>
    </row>
    <row r="37" spans="2:7" ht="14.25" customHeight="1">
      <c r="B37" s="7"/>
      <c r="C37" s="71"/>
      <c r="D37" s="7"/>
      <c r="E37" s="7"/>
      <c r="G37" s="5"/>
    </row>
    <row r="38" spans="2:7" ht="14.25" customHeight="1">
      <c r="B38" s="7"/>
      <c r="C38" s="71"/>
      <c r="D38" s="7"/>
      <c r="E38" s="7"/>
      <c r="G38" s="5"/>
    </row>
    <row r="39" spans="2:7" ht="14.25" customHeight="1">
      <c r="B39" s="7"/>
      <c r="C39" s="71"/>
      <c r="D39" s="7"/>
      <c r="E39" s="7"/>
      <c r="G39" s="5"/>
    </row>
    <row r="40" spans="2:7" ht="14.25" customHeight="1">
      <c r="B40" s="7"/>
      <c r="C40" s="71"/>
      <c r="D40" s="7"/>
      <c r="E40" s="7"/>
      <c r="G40" s="5"/>
    </row>
    <row r="41" spans="2:7" ht="14.25" customHeight="1">
      <c r="B41" s="7"/>
      <c r="C41" s="71"/>
      <c r="D41" s="7"/>
      <c r="E41" s="7"/>
      <c r="G41" s="5"/>
    </row>
    <row r="42" spans="2:7" ht="14.25" customHeight="1">
      <c r="B42" s="7"/>
      <c r="C42" s="71"/>
      <c r="D42" s="7"/>
      <c r="E42" s="7"/>
      <c r="G42" s="5"/>
    </row>
    <row r="43" spans="2:7" ht="14.25" customHeight="1">
      <c r="B43" s="7"/>
      <c r="C43" s="71"/>
      <c r="D43" s="7"/>
      <c r="E43" s="7"/>
      <c r="G43" s="5"/>
    </row>
    <row r="44" spans="2:7" ht="14.25" customHeight="1">
      <c r="B44" s="7"/>
      <c r="C44" s="71"/>
      <c r="D44" s="7"/>
      <c r="E44" s="7"/>
      <c r="G44" s="5"/>
    </row>
    <row r="45" spans="2:7" ht="14.25" customHeight="1">
      <c r="B45" s="7"/>
      <c r="C45" s="101">
        <f>Рабочий!O48</f>
        <v>59</v>
      </c>
      <c r="D45" s="101">
        <f>Рабочий!P48</f>
        <v>153</v>
      </c>
      <c r="E45" s="7"/>
      <c r="G45" s="5"/>
    </row>
    <row r="46" spans="2:7" ht="14.25" customHeight="1">
      <c r="B46" s="7"/>
      <c r="C46" s="71"/>
      <c r="D46" s="7"/>
      <c r="E46" s="7"/>
      <c r="G46" s="5"/>
    </row>
    <row r="47" spans="2:7" ht="14.25" customHeight="1">
      <c r="B47" s="7"/>
      <c r="C47" s="71"/>
      <c r="D47" s="7"/>
      <c r="E47" s="7"/>
      <c r="G47" s="5"/>
    </row>
    <row r="48" spans="2:7" ht="14.25" customHeight="1">
      <c r="B48" s="7"/>
      <c r="C48" s="71"/>
      <c r="D48" s="7"/>
      <c r="E48" s="7"/>
      <c r="G48" s="5"/>
    </row>
    <row r="49" spans="2:7" ht="14.25" customHeight="1">
      <c r="B49" s="7"/>
      <c r="C49" s="71"/>
      <c r="D49" s="7"/>
      <c r="E49" s="7"/>
      <c r="G49" s="5"/>
    </row>
    <row r="50" spans="2:7" ht="14.25" customHeight="1">
      <c r="B50" s="7"/>
      <c r="C50" s="71"/>
      <c r="D50" s="7"/>
      <c r="E50" s="7"/>
      <c r="G50" s="5"/>
    </row>
    <row r="51" spans="2:7" ht="14.25" customHeight="1">
      <c r="B51" s="7"/>
      <c r="C51" s="71"/>
      <c r="D51" s="7"/>
      <c r="E51" s="7"/>
      <c r="G51" s="5"/>
    </row>
    <row r="52" spans="2:7" ht="14.25" customHeight="1">
      <c r="B52" s="7"/>
      <c r="C52" s="71"/>
      <c r="D52" s="7"/>
      <c r="E52" s="7"/>
      <c r="G52" s="5"/>
    </row>
    <row r="53" spans="2:7" ht="14.25" customHeight="1">
      <c r="B53" s="7"/>
      <c r="C53" s="71"/>
      <c r="D53" s="7"/>
      <c r="E53" s="7"/>
      <c r="G53" s="5"/>
    </row>
    <row r="54" spans="2:7" ht="14.25" customHeight="1">
      <c r="B54" s="7"/>
      <c r="C54" s="71"/>
      <c r="D54" s="7"/>
      <c r="E54" s="7"/>
      <c r="G54" s="5"/>
    </row>
    <row r="55" spans="2:7" ht="14.25" customHeight="1">
      <c r="B55" s="7"/>
      <c r="C55" s="71"/>
      <c r="D55" s="7"/>
      <c r="E55" s="7"/>
      <c r="G55" s="5"/>
    </row>
    <row r="56" spans="2:7" ht="14.25" customHeight="1">
      <c r="B56" s="7"/>
      <c r="C56" s="71"/>
      <c r="D56" s="7"/>
      <c r="E56" s="7"/>
      <c r="G56" s="5"/>
    </row>
    <row r="57" spans="2:7" ht="14.25" customHeight="1">
      <c r="B57" s="7"/>
      <c r="C57" s="71"/>
      <c r="D57" s="7"/>
      <c r="E57" s="7"/>
      <c r="G57" s="5"/>
    </row>
    <row r="58" spans="2:7" ht="14.25" customHeight="1">
      <c r="B58" s="7"/>
      <c r="C58" s="71"/>
      <c r="D58" s="7"/>
      <c r="E58" s="7"/>
      <c r="G58" s="5"/>
    </row>
    <row r="59" spans="2:7" ht="14.25" customHeight="1">
      <c r="B59" s="7"/>
      <c r="C59" s="71"/>
      <c r="D59" s="7"/>
      <c r="E59" s="7"/>
      <c r="G59" s="5"/>
    </row>
    <row r="60" spans="2:7" ht="14.25" customHeight="1">
      <c r="B60" s="7"/>
      <c r="C60" s="71"/>
      <c r="D60" s="7"/>
      <c r="E60" s="7"/>
      <c r="G60" s="5"/>
    </row>
    <row r="61" spans="2:7" ht="14.25" customHeight="1">
      <c r="B61" s="7"/>
      <c r="C61" s="71"/>
      <c r="D61" s="7"/>
      <c r="E61" s="7"/>
      <c r="G61" s="5"/>
    </row>
    <row r="62" spans="2:7" ht="14.25" customHeight="1">
      <c r="B62" s="7"/>
      <c r="C62" s="71"/>
      <c r="D62" s="7"/>
      <c r="E62" s="7"/>
      <c r="G62" s="5"/>
    </row>
    <row r="63" spans="2:7" ht="14.25" customHeight="1">
      <c r="B63" s="7"/>
      <c r="C63" s="71"/>
      <c r="D63" s="7"/>
      <c r="E63" s="7"/>
      <c r="G63" s="5"/>
    </row>
    <row r="64" spans="2:7" ht="14.25" customHeight="1">
      <c r="B64" s="7"/>
      <c r="C64" s="71"/>
      <c r="D64" s="7"/>
      <c r="E64" s="7"/>
      <c r="G64" s="5"/>
    </row>
    <row r="65" spans="2:7" ht="14.25" customHeight="1">
      <c r="B65" s="7"/>
      <c r="C65" s="71"/>
      <c r="D65" s="7"/>
      <c r="E65" s="7"/>
      <c r="G65" s="5"/>
    </row>
    <row r="66" spans="2:7" ht="14.25" customHeight="1">
      <c r="B66" s="7"/>
      <c r="C66" s="71"/>
      <c r="D66" s="7"/>
      <c r="E66" s="7"/>
      <c r="G66" s="5"/>
    </row>
    <row r="67" spans="2:7" ht="14.25" customHeight="1">
      <c r="B67" s="7"/>
      <c r="C67" s="71"/>
      <c r="D67" s="7"/>
      <c r="E67" s="7"/>
      <c r="G67" s="5"/>
    </row>
    <row r="68" spans="2:7" ht="14.25" customHeight="1">
      <c r="B68" s="7"/>
      <c r="C68" s="71"/>
      <c r="D68" s="7"/>
      <c r="E68" s="7"/>
      <c r="G68" s="5"/>
    </row>
    <row r="69" spans="2:7" ht="14.25" customHeight="1">
      <c r="B69" s="7"/>
      <c r="C69" s="71"/>
      <c r="D69" s="7"/>
      <c r="E69" s="7"/>
      <c r="G69" s="5"/>
    </row>
    <row r="70" spans="2:7" ht="14.25" customHeight="1">
      <c r="B70" s="7"/>
      <c r="C70" s="71"/>
      <c r="D70" s="7"/>
      <c r="E70" s="7"/>
      <c r="G70" s="5"/>
    </row>
    <row r="71" spans="2:7" ht="14.25" customHeight="1">
      <c r="B71" s="7"/>
      <c r="C71" s="71"/>
      <c r="D71" s="7"/>
      <c r="E71" s="7"/>
      <c r="G71" s="5"/>
    </row>
    <row r="72" spans="2:7" ht="14.25" customHeight="1">
      <c r="B72" s="7"/>
      <c r="C72" s="71"/>
      <c r="D72" s="7"/>
      <c r="E72" s="7"/>
      <c r="G72" s="5"/>
    </row>
    <row r="73" spans="2:7" ht="14.25" customHeight="1">
      <c r="B73" s="7"/>
      <c r="C73" s="71"/>
      <c r="D73" s="7"/>
      <c r="E73" s="7"/>
      <c r="G73" s="5"/>
    </row>
    <row r="74" spans="2:7" ht="14.25" customHeight="1">
      <c r="B74" s="7"/>
      <c r="C74" s="71"/>
      <c r="D74" s="7"/>
      <c r="E74" s="7"/>
      <c r="G74" s="5"/>
    </row>
    <row r="75" spans="2:7" ht="14.25" customHeight="1">
      <c r="B75" s="7"/>
      <c r="C75" s="71"/>
      <c r="D75" s="7"/>
      <c r="E75" s="7"/>
      <c r="G75" s="5"/>
    </row>
    <row r="76" spans="2:7" ht="14.25" customHeight="1">
      <c r="B76" s="7"/>
      <c r="C76" s="71"/>
      <c r="D76" s="7"/>
      <c r="E76" s="7"/>
      <c r="G76" s="5"/>
    </row>
    <row r="77" spans="2:7" ht="14.25" customHeight="1">
      <c r="B77" s="7"/>
      <c r="C77" s="71"/>
      <c r="D77" s="7"/>
      <c r="E77" s="7"/>
      <c r="G77" s="5"/>
    </row>
    <row r="78" spans="2:7" ht="14.25" customHeight="1">
      <c r="B78" s="7"/>
      <c r="C78" s="71"/>
      <c r="D78" s="7"/>
      <c r="E78" s="7"/>
      <c r="G78" s="5"/>
    </row>
    <row r="79" spans="2:7" ht="14.25" customHeight="1">
      <c r="B79" s="7"/>
      <c r="C79" s="71"/>
      <c r="D79" s="7"/>
      <c r="E79" s="7"/>
      <c r="G79" s="5"/>
    </row>
    <row r="80" spans="2:7" ht="14.25" customHeight="1">
      <c r="B80" s="7"/>
      <c r="C80" s="71"/>
      <c r="D80" s="7"/>
      <c r="E80" s="7"/>
      <c r="G80" s="5"/>
    </row>
    <row r="81" spans="2:7" ht="14.25" customHeight="1">
      <c r="B81" s="7"/>
      <c r="C81" s="71"/>
      <c r="D81" s="7"/>
      <c r="E81" s="7"/>
      <c r="G81" s="5"/>
    </row>
    <row r="82" spans="2:7" ht="14.25" customHeight="1">
      <c r="B82" s="7"/>
      <c r="C82" s="71"/>
      <c r="D82" s="7"/>
      <c r="E82" s="7"/>
      <c r="G82" s="5"/>
    </row>
  </sheetData>
  <sheetProtection sheet="1" objects="1" scenarios="1"/>
  <protectedRanges>
    <protectedRange sqref="L7:T14 I13:K14" name="Диапазон1"/>
    <protectedRange sqref="C5:E16 I7:K12" name="Диапазон2"/>
    <protectedRange sqref="C19:C22" name="Диапазон3"/>
  </protectedRanges>
  <mergeCells count="3">
    <mergeCell ref="H5:T5"/>
    <mergeCell ref="H17:T17"/>
    <mergeCell ref="D4:E4"/>
  </mergeCells>
  <conditionalFormatting sqref="U19 I19:T26">
    <cfRule type="cellIs" priority="1" dxfId="0" operator="lessThan" stopIfTrue="1">
      <formula>$C$45</formula>
    </cfRule>
    <cfRule type="cellIs" priority="2" dxfId="1" operator="between" stopIfTrue="1">
      <formula>$D$45</formula>
      <formula>1000000000</formula>
    </cfRule>
  </conditionalFormatting>
  <conditionalFormatting sqref="I28">
    <cfRule type="cellIs" priority="3" dxfId="0" operator="lessThan" stopIfTrue="1">
      <formula>5-$C$45</formula>
    </cfRule>
  </conditionalFormatting>
  <printOptions/>
  <pageMargins left="0.2" right="0.2" top="1" bottom="1" header="0.5" footer="0.5"/>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Лист2"/>
  <dimension ref="A2:AL136"/>
  <sheetViews>
    <sheetView workbookViewId="0" topLeftCell="D88">
      <selection activeCell="K115" sqref="K115"/>
    </sheetView>
  </sheetViews>
  <sheetFormatPr defaultColWidth="9.00390625" defaultRowHeight="12.75"/>
  <cols>
    <col min="1" max="1" width="11.625" style="0" bestFit="1" customWidth="1"/>
    <col min="3" max="3" width="15.00390625" style="0" customWidth="1"/>
    <col min="4" max="4" width="28.375" style="0" customWidth="1"/>
    <col min="5" max="5" width="10.875" style="0" customWidth="1"/>
    <col min="6" max="6" width="2.125" style="0" customWidth="1"/>
    <col min="7" max="7" width="12.375" style="0" customWidth="1"/>
    <col min="8" max="8" width="12.375" style="0" bestFit="1" customWidth="1"/>
    <col min="22" max="22" width="12.375" style="0" bestFit="1" customWidth="1"/>
  </cols>
  <sheetData>
    <row r="1" ht="14.25" customHeight="1" thickBot="1"/>
    <row r="2" spans="3:35" ht="14.25" customHeight="1">
      <c r="C2" t="s">
        <v>61</v>
      </c>
      <c r="D2">
        <f>I48</f>
        <v>2</v>
      </c>
      <c r="M2" s="44"/>
      <c r="N2" s="45"/>
      <c r="O2" s="45"/>
      <c r="P2" s="45"/>
      <c r="Q2" s="45"/>
      <c r="R2" s="45"/>
      <c r="S2" s="45"/>
      <c r="T2" s="45"/>
      <c r="U2" s="45"/>
      <c r="V2" s="45"/>
      <c r="W2" s="45"/>
      <c r="X2" s="46"/>
      <c r="Y2" s="54"/>
      <c r="Z2" s="55"/>
      <c r="AA2" s="55"/>
      <c r="AB2" s="55"/>
      <c r="AC2" s="55"/>
      <c r="AD2" s="55"/>
      <c r="AE2" s="55"/>
      <c r="AF2" s="56"/>
      <c r="AI2" t="s">
        <v>58</v>
      </c>
    </row>
    <row r="3" spans="3:32" ht="14.25" customHeight="1">
      <c r="C3" t="str">
        <f>IF(D$2=1,N5,IF(D$2=2,R5,IF(D$2=3,V5,IF(D$2=4,Z5,AD5))))</f>
        <v>R2 = 1</v>
      </c>
      <c r="M3" s="47"/>
      <c r="N3" s="48"/>
      <c r="O3" s="48"/>
      <c r="P3" s="48"/>
      <c r="Q3" s="48"/>
      <c r="R3" s="48"/>
      <c r="S3" s="48"/>
      <c r="T3" s="48"/>
      <c r="U3" s="48"/>
      <c r="V3" s="48"/>
      <c r="W3" s="48"/>
      <c r="X3" s="49"/>
      <c r="Y3" s="57"/>
      <c r="Z3" s="58"/>
      <c r="AA3" s="58"/>
      <c r="AB3" s="58"/>
      <c r="AC3" s="58"/>
      <c r="AD3" s="58"/>
      <c r="AE3" s="58"/>
      <c r="AF3" s="59"/>
    </row>
    <row r="4" spans="3:38" ht="14.25" customHeight="1">
      <c r="C4" t="str">
        <f>IF(D$2=1,N6,IF(D$2=2,R6,IF(D$2=3,V6,IF(D$2=4,Z6,AD6))))</f>
        <v>y = -5,4219x3 + 56,745x2 - 132,26x + 87,516</v>
      </c>
      <c r="M4" s="47"/>
      <c r="N4" s="48"/>
      <c r="O4" s="48"/>
      <c r="P4" s="48"/>
      <c r="Q4" s="48"/>
      <c r="R4" s="48"/>
      <c r="S4" s="48"/>
      <c r="T4" s="48"/>
      <c r="U4" s="48"/>
      <c r="V4" s="48"/>
      <c r="W4" s="48"/>
      <c r="X4" s="49"/>
      <c r="Y4" s="57"/>
      <c r="Z4" s="58"/>
      <c r="AA4" s="58"/>
      <c r="AB4" s="58"/>
      <c r="AC4" s="58"/>
      <c r="AD4" s="58"/>
      <c r="AE4" s="58"/>
      <c r="AF4" s="59"/>
      <c r="AI4" t="s">
        <v>7</v>
      </c>
      <c r="AJ4">
        <v>55</v>
      </c>
      <c r="AK4">
        <v>180</v>
      </c>
      <c r="AL4" t="s">
        <v>16</v>
      </c>
    </row>
    <row r="5" spans="3:37" ht="14.25" customHeight="1">
      <c r="C5" t="str">
        <f>MID(C4,4,LEN(C4)-3)</f>
        <v> -5,4219x3 + 56,745x2 - 132,26x + 87,516</v>
      </c>
      <c r="M5" s="47"/>
      <c r="N5" s="48" t="s">
        <v>113</v>
      </c>
      <c r="O5" s="48"/>
      <c r="P5" s="48"/>
      <c r="Q5" s="48"/>
      <c r="R5" s="48" t="s">
        <v>67</v>
      </c>
      <c r="S5" s="48"/>
      <c r="T5" s="48"/>
      <c r="U5" s="48"/>
      <c r="V5" s="48" t="s">
        <v>67</v>
      </c>
      <c r="W5" s="48"/>
      <c r="X5" s="49"/>
      <c r="Y5" s="57"/>
      <c r="Z5" s="58" t="s">
        <v>117</v>
      </c>
      <c r="AA5" s="58"/>
      <c r="AB5" s="58"/>
      <c r="AC5" s="58"/>
      <c r="AD5" s="58" t="s">
        <v>119</v>
      </c>
      <c r="AE5" s="58"/>
      <c r="AF5" s="59"/>
      <c r="AI5" t="s">
        <v>4</v>
      </c>
      <c r="AJ5">
        <v>40</v>
      </c>
      <c r="AK5">
        <v>120</v>
      </c>
    </row>
    <row r="6" spans="13:37" ht="14.25" customHeight="1">
      <c r="M6" s="47"/>
      <c r="N6" s="48" t="s">
        <v>114</v>
      </c>
      <c r="O6" s="48"/>
      <c r="P6" s="48"/>
      <c r="Q6" s="48"/>
      <c r="R6" s="48" t="s">
        <v>115</v>
      </c>
      <c r="S6" s="48"/>
      <c r="T6" s="48"/>
      <c r="U6" s="48"/>
      <c r="V6" s="48" t="s">
        <v>116</v>
      </c>
      <c r="W6" s="48"/>
      <c r="X6" s="49"/>
      <c r="Y6" s="57"/>
      <c r="Z6" s="58" t="s">
        <v>118</v>
      </c>
      <c r="AA6" s="58"/>
      <c r="AB6" s="58"/>
      <c r="AC6" s="58"/>
      <c r="AD6" s="58" t="s">
        <v>120</v>
      </c>
      <c r="AE6" s="58"/>
      <c r="AF6" s="59"/>
      <c r="AI6" t="s">
        <v>5</v>
      </c>
      <c r="AJ6">
        <v>30</v>
      </c>
      <c r="AK6">
        <v>150</v>
      </c>
    </row>
    <row r="7" spans="3:37" ht="14.25" customHeight="1">
      <c r="C7" s="25"/>
      <c r="D7" s="25" t="s">
        <v>19</v>
      </c>
      <c r="E7" s="25" t="s">
        <v>20</v>
      </c>
      <c r="F7" s="25" t="s">
        <v>21</v>
      </c>
      <c r="G7" s="25" t="s">
        <v>22</v>
      </c>
      <c r="I7">
        <v>5</v>
      </c>
      <c r="M7" s="47"/>
      <c r="N7" s="48"/>
      <c r="O7" s="48"/>
      <c r="P7" s="48"/>
      <c r="Q7" s="48"/>
      <c r="R7" s="48"/>
      <c r="S7" s="48"/>
      <c r="T7" s="48"/>
      <c r="U7" s="48"/>
      <c r="V7" s="48"/>
      <c r="W7" s="48"/>
      <c r="X7" s="49"/>
      <c r="Y7" s="57"/>
      <c r="Z7" s="58"/>
      <c r="AA7" s="58"/>
      <c r="AB7" s="58"/>
      <c r="AC7" s="58"/>
      <c r="AD7" s="58"/>
      <c r="AE7" s="58"/>
      <c r="AF7" s="59"/>
      <c r="AI7" t="s">
        <v>6</v>
      </c>
      <c r="AJ7">
        <v>20</v>
      </c>
      <c r="AK7">
        <v>80</v>
      </c>
    </row>
    <row r="8" spans="3:32" ht="14.25" customHeight="1">
      <c r="C8" t="s">
        <v>23</v>
      </c>
      <c r="D8" t="e">
        <f>SEARCH("X5",$C$5,1)</f>
        <v>#VALUE!</v>
      </c>
      <c r="E8">
        <v>1</v>
      </c>
      <c r="F8" t="b">
        <f aca="true" t="shared" si="0" ref="F8:F13">IF(ISNUMBER(D8),D8)</f>
        <v>0</v>
      </c>
      <c r="G8">
        <f>IF(ISNUMBER(D8),MID($C$5,E8,F8-E8),0)</f>
        <v>0</v>
      </c>
      <c r="I8">
        <v>5</v>
      </c>
      <c r="M8" s="47"/>
      <c r="N8" s="48"/>
      <c r="O8" s="48"/>
      <c r="P8" s="48"/>
      <c r="Q8" s="48"/>
      <c r="R8" s="48"/>
      <c r="S8" s="48"/>
      <c r="T8" s="48"/>
      <c r="U8" s="48"/>
      <c r="V8" s="48"/>
      <c r="W8" s="48"/>
      <c r="X8" s="49"/>
      <c r="Y8" s="57"/>
      <c r="Z8" s="58"/>
      <c r="AA8" s="58"/>
      <c r="AB8" s="58"/>
      <c r="AC8" s="58"/>
      <c r="AD8" s="58"/>
      <c r="AE8" s="58"/>
      <c r="AF8" s="59"/>
    </row>
    <row r="9" spans="3:37" ht="14.25" customHeight="1">
      <c r="C9" t="s">
        <v>24</v>
      </c>
      <c r="D9" t="e">
        <f>SEARCH("X4",$C$5,1)</f>
        <v>#VALUE!</v>
      </c>
      <c r="E9">
        <f>IF(ISNUMBER(D8),D8+3,1)</f>
        <v>1</v>
      </c>
      <c r="F9" t="b">
        <f t="shared" si="0"/>
        <v>0</v>
      </c>
      <c r="G9">
        <f>IF(ISNUMBER(D9),MID($C$5,E9,F9-E9),0)</f>
        <v>0</v>
      </c>
      <c r="I9">
        <v>4</v>
      </c>
      <c r="M9" s="47"/>
      <c r="N9" s="48"/>
      <c r="O9" s="48"/>
      <c r="P9" s="48"/>
      <c r="Q9" s="48"/>
      <c r="R9" s="48"/>
      <c r="S9" s="48"/>
      <c r="T9" s="48"/>
      <c r="U9" s="48"/>
      <c r="V9" s="48"/>
      <c r="W9" s="48"/>
      <c r="X9" s="49"/>
      <c r="Y9" s="57"/>
      <c r="Z9" s="58"/>
      <c r="AA9" s="58"/>
      <c r="AB9" s="58"/>
      <c r="AC9" s="58"/>
      <c r="AD9" s="58"/>
      <c r="AE9" s="58"/>
      <c r="AF9" s="59"/>
      <c r="AI9">
        <v>1</v>
      </c>
      <c r="AJ9">
        <v>30</v>
      </c>
      <c r="AK9">
        <v>150</v>
      </c>
    </row>
    <row r="10" spans="3:32" ht="14.25" customHeight="1">
      <c r="C10" t="s">
        <v>25</v>
      </c>
      <c r="D10">
        <f>SEARCH("X3",$C$5,1)</f>
        <v>9</v>
      </c>
      <c r="E10">
        <f>IF(ISNUMBER(D9),D9+3,1)</f>
        <v>1</v>
      </c>
      <c r="F10">
        <f t="shared" si="0"/>
        <v>9</v>
      </c>
      <c r="G10" t="str">
        <f>IF(ISNUMBER(D10),MID($C$5,E10,F10-E10),0)</f>
        <v> -5,4219</v>
      </c>
      <c r="I10">
        <v>3</v>
      </c>
      <c r="M10" s="47"/>
      <c r="N10" s="48"/>
      <c r="O10" s="48"/>
      <c r="P10" s="48"/>
      <c r="Q10" s="48"/>
      <c r="R10" s="48"/>
      <c r="S10" s="48"/>
      <c r="T10" s="48"/>
      <c r="U10" s="48"/>
      <c r="V10" s="48"/>
      <c r="W10" s="48"/>
      <c r="X10" s="49"/>
      <c r="Y10" s="57"/>
      <c r="Z10" s="58"/>
      <c r="AA10" s="58"/>
      <c r="AB10" s="58"/>
      <c r="AC10" s="58"/>
      <c r="AD10" s="58"/>
      <c r="AE10" s="58"/>
      <c r="AF10" s="59"/>
    </row>
    <row r="11" spans="3:32" ht="14.25" customHeight="1">
      <c r="C11" t="s">
        <v>18</v>
      </c>
      <c r="D11">
        <f>SEARCH("X2",$C$5,1)</f>
        <v>20</v>
      </c>
      <c r="E11">
        <f>IF(ISNUMBER(D10),D10+3,1)</f>
        <v>12</v>
      </c>
      <c r="F11">
        <f t="shared" si="0"/>
        <v>20</v>
      </c>
      <c r="G11" t="str">
        <f>IF(ISNUMBER(D11),MID($C$5,E11,F11-E11),0)</f>
        <v>+ 56,745</v>
      </c>
      <c r="I11">
        <v>2</v>
      </c>
      <c r="M11" s="47"/>
      <c r="N11" s="48"/>
      <c r="O11" s="48"/>
      <c r="P11" s="48"/>
      <c r="Q11" s="48"/>
      <c r="R11" s="48"/>
      <c r="S11" s="48"/>
      <c r="T11" s="48"/>
      <c r="U11" s="48"/>
      <c r="V11" s="48"/>
      <c r="W11" s="48"/>
      <c r="X11" s="49"/>
      <c r="Y11" s="57"/>
      <c r="Z11" s="58"/>
      <c r="AA11" s="58"/>
      <c r="AB11" s="58"/>
      <c r="AC11" s="58"/>
      <c r="AD11" s="58"/>
      <c r="AE11" s="58"/>
      <c r="AF11" s="59"/>
    </row>
    <row r="12" spans="3:35" ht="14.25" customHeight="1">
      <c r="C12" t="s">
        <v>1</v>
      </c>
      <c r="D12">
        <f>SEARCH("X",$C$5,IF(ISNUMBER(D11),D11+2,1))</f>
        <v>31</v>
      </c>
      <c r="E12">
        <f>IF(ISNUMBER(D11),D11+3,1)</f>
        <v>23</v>
      </c>
      <c r="F12">
        <f t="shared" si="0"/>
        <v>31</v>
      </c>
      <c r="G12" t="str">
        <f>IF(ISNUMBER(D12),MID($C$5,E12,F12-E12),0)</f>
        <v>- 132,26</v>
      </c>
      <c r="I12">
        <v>1</v>
      </c>
      <c r="M12" s="47"/>
      <c r="N12" s="48"/>
      <c r="O12" s="48"/>
      <c r="P12" s="48"/>
      <c r="Q12" s="48"/>
      <c r="R12" s="50"/>
      <c r="S12" s="50"/>
      <c r="T12" s="50"/>
      <c r="U12" s="50"/>
      <c r="V12" s="48"/>
      <c r="W12" s="48"/>
      <c r="X12" s="49"/>
      <c r="Y12" s="57"/>
      <c r="Z12" s="58"/>
      <c r="AA12" s="58"/>
      <c r="AB12" s="58"/>
      <c r="AC12" s="58"/>
      <c r="AD12" s="58"/>
      <c r="AE12" s="58"/>
      <c r="AF12" s="59"/>
      <c r="AI12" t="s">
        <v>59</v>
      </c>
    </row>
    <row r="13" spans="3:35" ht="14.25" customHeight="1">
      <c r="C13" t="s">
        <v>2</v>
      </c>
      <c r="D13">
        <f>LEN(C5)</f>
        <v>40</v>
      </c>
      <c r="E13">
        <f>IF(ISNUMBER(D12),D12+3,1)</f>
        <v>34</v>
      </c>
      <c r="F13">
        <f t="shared" si="0"/>
        <v>40</v>
      </c>
      <c r="G13" t="str">
        <f>IF(D13&gt;E13,IF(ISNUMBER(D13),MID($C$5,E13-1,F13-E13+2),0),0)</f>
        <v>+ 87,516</v>
      </c>
      <c r="I13">
        <v>0</v>
      </c>
      <c r="M13" s="47"/>
      <c r="N13" s="48"/>
      <c r="O13" s="48"/>
      <c r="P13" s="48"/>
      <c r="Q13" s="48"/>
      <c r="R13" s="50"/>
      <c r="S13" s="50"/>
      <c r="T13" s="50"/>
      <c r="U13" s="50"/>
      <c r="V13" s="48"/>
      <c r="W13" s="48"/>
      <c r="X13" s="49"/>
      <c r="Y13" s="57"/>
      <c r="Z13" s="58"/>
      <c r="AA13" s="58"/>
      <c r="AB13" s="58"/>
      <c r="AC13" s="58"/>
      <c r="AD13" s="58"/>
      <c r="AE13" s="58"/>
      <c r="AF13" s="59"/>
      <c r="AI13" t="s">
        <v>60</v>
      </c>
    </row>
    <row r="14" spans="5:32" ht="14.25" customHeight="1">
      <c r="E14" s="2"/>
      <c r="M14" s="47"/>
      <c r="N14" s="48"/>
      <c r="O14" s="48"/>
      <c r="P14" s="48"/>
      <c r="Q14" s="48"/>
      <c r="R14" s="50"/>
      <c r="S14" s="50"/>
      <c r="T14" s="50"/>
      <c r="U14" s="50"/>
      <c r="V14" s="48"/>
      <c r="W14" s="48"/>
      <c r="X14" s="49"/>
      <c r="Y14" s="57"/>
      <c r="Z14" s="58"/>
      <c r="AA14" s="58"/>
      <c r="AB14" s="58"/>
      <c r="AC14" s="58"/>
      <c r="AD14" s="58"/>
      <c r="AE14" s="58"/>
      <c r="AF14" s="59"/>
    </row>
    <row r="15" spans="13:32" ht="14.25" customHeight="1">
      <c r="M15" s="47"/>
      <c r="N15" s="48"/>
      <c r="O15" s="48"/>
      <c r="P15" s="48"/>
      <c r="Q15" s="48"/>
      <c r="R15" s="50"/>
      <c r="S15" s="50"/>
      <c r="T15" s="50"/>
      <c r="U15" s="50"/>
      <c r="V15" s="48"/>
      <c r="W15" s="48"/>
      <c r="X15" s="49"/>
      <c r="Y15" s="57"/>
      <c r="Z15" s="58"/>
      <c r="AA15" s="58"/>
      <c r="AB15" s="58"/>
      <c r="AC15" s="58"/>
      <c r="AD15" s="58"/>
      <c r="AE15" s="58"/>
      <c r="AF15" s="59"/>
    </row>
    <row r="16" spans="7:32" ht="14.25" customHeight="1">
      <c r="G16" s="4"/>
      <c r="K16" s="13">
        <v>3.0415</v>
      </c>
      <c r="M16" s="47"/>
      <c r="N16" s="48"/>
      <c r="O16" s="48"/>
      <c r="P16" s="48"/>
      <c r="Q16" s="48"/>
      <c r="R16" s="50"/>
      <c r="S16" s="50"/>
      <c r="T16" s="50"/>
      <c r="U16" s="50"/>
      <c r="V16" s="48"/>
      <c r="W16" s="48"/>
      <c r="X16" s="49"/>
      <c r="Y16" s="57"/>
      <c r="Z16" s="58"/>
      <c r="AA16" s="58"/>
      <c r="AB16" s="58"/>
      <c r="AC16" s="58"/>
      <c r="AD16" s="58"/>
      <c r="AE16" s="58"/>
      <c r="AF16" s="59"/>
    </row>
    <row r="17" spans="3:32" ht="14.25" customHeight="1">
      <c r="C17" s="5">
        <f>ABS(MID(C3,5,LEN(C3)-4))</f>
        <v>1</v>
      </c>
      <c r="D17" s="6"/>
      <c r="E17">
        <v>0</v>
      </c>
      <c r="G17" s="4"/>
      <c r="M17" s="47"/>
      <c r="N17" s="48"/>
      <c r="O17" s="48"/>
      <c r="P17" s="48"/>
      <c r="Q17" s="48"/>
      <c r="R17" s="50"/>
      <c r="S17" s="50"/>
      <c r="T17" s="50"/>
      <c r="U17" s="50"/>
      <c r="V17" s="48"/>
      <c r="W17" s="48"/>
      <c r="X17" s="49"/>
      <c r="Y17" s="57"/>
      <c r="Z17" s="58"/>
      <c r="AA17" s="58"/>
      <c r="AB17" s="58"/>
      <c r="AC17" s="58"/>
      <c r="AD17" s="58"/>
      <c r="AE17" s="58"/>
      <c r="AF17" s="59"/>
    </row>
    <row r="18" spans="7:32" ht="14.25" customHeight="1">
      <c r="G18" s="4"/>
      <c r="M18" s="47"/>
      <c r="N18" s="48"/>
      <c r="O18" s="48"/>
      <c r="P18" s="48"/>
      <c r="Q18" s="48"/>
      <c r="R18" s="50"/>
      <c r="S18" s="50"/>
      <c r="T18" s="50"/>
      <c r="U18" s="50"/>
      <c r="V18" s="48"/>
      <c r="W18" s="48"/>
      <c r="X18" s="49"/>
      <c r="Y18" s="57"/>
      <c r="Z18" s="58"/>
      <c r="AA18" s="58"/>
      <c r="AB18" s="58"/>
      <c r="AC18" s="58"/>
      <c r="AD18" s="58"/>
      <c r="AE18" s="58"/>
      <c r="AF18" s="59"/>
    </row>
    <row r="19" spans="1:32" ht="14.25" customHeight="1">
      <c r="A19" s="42" t="s">
        <v>0</v>
      </c>
      <c r="B19" t="str">
        <f>'Ввод данных и результаты'!C4</f>
        <v>Концентрация Т4-общ. в калибраторах, нмоль/л</v>
      </c>
      <c r="C19" t="str">
        <f>'Ввод данных и результаты'!D4</f>
        <v>Оптическая плотность калибратора, О.Е.</v>
      </c>
      <c r="D19" t="str">
        <f>Рабочий!A19</f>
        <v>Log</v>
      </c>
      <c r="M19" s="47"/>
      <c r="N19" s="48"/>
      <c r="O19" s="48"/>
      <c r="P19" s="48"/>
      <c r="Q19" s="48"/>
      <c r="R19" s="50"/>
      <c r="S19" s="50"/>
      <c r="T19" s="50"/>
      <c r="U19" s="50"/>
      <c r="V19" s="48"/>
      <c r="W19" s="48"/>
      <c r="X19" s="49"/>
      <c r="Y19" s="57"/>
      <c r="Z19" s="58"/>
      <c r="AA19" s="58"/>
      <c r="AB19" s="58"/>
      <c r="AC19" s="58"/>
      <c r="AD19" s="58"/>
      <c r="AE19" s="58"/>
      <c r="AF19" s="59"/>
    </row>
    <row r="20" spans="1:32" ht="14.25" customHeight="1">
      <c r="A20" s="11">
        <f>IF(AND(ISNUMBER(D20),OR(ISNUMBER('Ввод данных и результаты'!D5),ISNUMBER('Ввод данных и результаты'!E5))),(AVERAGE('Ввод данных и результаты'!D5,'Ввод данных и результаты'!E5)-$J$45*$L$45),80)</f>
        <v>80</v>
      </c>
      <c r="B20" t="e">
        <f>IF(ISNUMBER('Ввод данных и результаты'!C5),'Ввод данных и результаты'!C5,NA())</f>
        <v>#N/A</v>
      </c>
      <c r="C20" s="43" t="e">
        <f>IF(AND(ISNUMBER(D20),OR(ISNUMBER('Ввод данных и результаты'!D5),ISNUMBER('Ввод данных и результаты'!E5))),IF($J$46="+",LN(AVERAGE('Ввод данных и результаты'!D5,'Ввод данных и результаты'!E5)-$J$45*$L$45),AVERAGE('Ввод данных и результаты'!D5,'Ввод данных и результаты'!E5)-$J$45*$L$45),NA())</f>
        <v>#N/A</v>
      </c>
      <c r="D20" s="2" t="e">
        <f>IF(ISNUMBER('Ввод данных и результаты'!C5),IF($J$81="+",LN('Ввод данных и результаты'!C5),'Ввод данных и результаты'!C5),NA())</f>
        <v>#N/A</v>
      </c>
      <c r="E20" s="11">
        <f>IF(AND(ISNUMBER(D20),OR(ISNUMBER('Ввод данных и результаты'!D5),ISNUMBER('Ввод данных и результаты'!E5))),(AVERAGE('Ввод данных и результаты'!D5,'Ввод данных и результаты'!E5)-$J$45*$L$45),-1)</f>
        <v>-1</v>
      </c>
      <c r="G20" s="3">
        <f>ABS(E20/20)</f>
        <v>0.05</v>
      </c>
      <c r="H20">
        <f>IF(ISNUMBER(G20),1,0)</f>
        <v>1</v>
      </c>
      <c r="I20">
        <f>IF(AND(ISNUMBER(C20),ISNUMBER(B20)),B20,1000000)</f>
        <v>1000000</v>
      </c>
      <c r="J20">
        <f>IF(AND(ISNUMBER(C20),ISNUMBER(B20)),B20,-1000000)</f>
        <v>-1000000</v>
      </c>
      <c r="M20" s="47"/>
      <c r="N20" s="48"/>
      <c r="O20" s="48"/>
      <c r="P20" s="48"/>
      <c r="Q20" s="48"/>
      <c r="R20" s="50"/>
      <c r="S20" s="50"/>
      <c r="T20" s="50"/>
      <c r="U20" s="50"/>
      <c r="V20" s="48"/>
      <c r="W20" s="48"/>
      <c r="X20" s="49"/>
      <c r="Y20" s="57"/>
      <c r="Z20" s="58"/>
      <c r="AA20" s="58"/>
      <c r="AB20" s="58"/>
      <c r="AC20" s="58"/>
      <c r="AD20" s="58"/>
      <c r="AE20" s="58"/>
      <c r="AF20" s="59"/>
    </row>
    <row r="21" spans="1:32" ht="14.25" customHeight="1">
      <c r="A21" s="11">
        <f>IF(AND(ISNUMBER(D21),OR(ISNUMBER('Ввод данных и результаты'!D6),ISNUMBER('Ввод данных и результаты'!E6))),(AVERAGE('Ввод данных и результаты'!D6,'Ввод данных и результаты'!E6)-$J$45*$L$45),80)</f>
        <v>80</v>
      </c>
      <c r="B21" t="e">
        <f>IF(ISNUMBER('Ввод данных и результаты'!C6),'Ввод данных и результаты'!C6,NA())</f>
        <v>#N/A</v>
      </c>
      <c r="C21" s="43" t="e">
        <f>IF(AND(ISNUMBER(D21),OR(ISNUMBER('Ввод данных и результаты'!D6),ISNUMBER('Ввод данных и результаты'!E6))),IF($J$46="+",LN(AVERAGE('Ввод данных и результаты'!D6,'Ввод данных и результаты'!E6)-$J$45*$L$45),AVERAGE('Ввод данных и результаты'!D6,'Ввод данных и результаты'!E6)-$J$45*$L$45),NA())</f>
        <v>#N/A</v>
      </c>
      <c r="D21" s="2" t="e">
        <f>IF(ISNUMBER('Ввод данных и результаты'!C6),IF($J$81="+",LN('Ввод данных и результаты'!C6),'Ввод данных и результаты'!C6),NA())</f>
        <v>#N/A</v>
      </c>
      <c r="E21" s="11">
        <f>IF(AND(ISNUMBER(D21),OR(ISNUMBER('Ввод данных и результаты'!D6),ISNUMBER('Ввод данных и результаты'!E6))),(AVERAGE('Ввод данных и результаты'!D6,'Ввод данных и результаты'!E6)-$J$45*$L$45),-1)</f>
        <v>-1</v>
      </c>
      <c r="G21" t="e">
        <f>ABS(E21-B21)/E21</f>
        <v>#N/A</v>
      </c>
      <c r="H21">
        <f aca="true" t="shared" si="1" ref="H21:H31">IF(ISNUMBER(G21),1,0)</f>
        <v>0</v>
      </c>
      <c r="I21">
        <f aca="true" t="shared" si="2" ref="I21:I30">IF(AND(ISNUMBER(C21),ISNUMBER(B21)),B21,1000000)</f>
        <v>1000000</v>
      </c>
      <c r="J21">
        <f aca="true" t="shared" si="3" ref="J21:J31">IF(AND(ISNUMBER(C21),ISNUMBER(B21)),B21,-1000000)</f>
        <v>-1000000</v>
      </c>
      <c r="M21" s="47"/>
      <c r="N21" s="48"/>
      <c r="O21" s="48"/>
      <c r="P21" s="48"/>
      <c r="Q21" s="48"/>
      <c r="R21" s="50"/>
      <c r="S21" s="50"/>
      <c r="T21" s="50"/>
      <c r="U21" s="50"/>
      <c r="V21" s="48"/>
      <c r="W21" s="48"/>
      <c r="X21" s="49"/>
      <c r="Y21" s="57"/>
      <c r="Z21" s="58"/>
      <c r="AA21" s="58"/>
      <c r="AB21" s="58"/>
      <c r="AC21" s="58"/>
      <c r="AD21" s="58"/>
      <c r="AE21" s="58"/>
      <c r="AF21" s="59"/>
    </row>
    <row r="22" spans="1:32" ht="14.25" customHeight="1">
      <c r="A22" s="11">
        <f>IF(AND(ISNUMBER(D22),OR(ISNUMBER('Ввод данных и результаты'!D7),ISNUMBER('Ввод данных и результаты'!E7))),(AVERAGE('Ввод данных и результаты'!D7,'Ввод данных и результаты'!E7)-$J$45*$L$45),80)</f>
        <v>80</v>
      </c>
      <c r="B22" t="e">
        <f>IF(ISNUMBER('Ввод данных и результаты'!C7),'Ввод данных и результаты'!C7,NA())</f>
        <v>#N/A</v>
      </c>
      <c r="C22" s="43" t="e">
        <f>IF(AND(ISNUMBER(D22),OR(ISNUMBER('Ввод данных и результаты'!D7),ISNUMBER('Ввод данных и результаты'!E7))),IF($J$46="+",LN(AVERAGE('Ввод данных и результаты'!D7,'Ввод данных и результаты'!E7)-$J$45*$L$45),AVERAGE('Ввод данных и результаты'!D7,'Ввод данных и результаты'!E7)-$J$45*$L$45),NA())</f>
        <v>#N/A</v>
      </c>
      <c r="D22" s="2" t="e">
        <f>IF(ISNUMBER('Ввод данных и результаты'!C7),IF($J$81="+",LN('Ввод данных и результаты'!C7),'Ввод данных и результаты'!C7),NA())</f>
        <v>#N/A</v>
      </c>
      <c r="E22" s="11">
        <f>IF(AND(ISNUMBER(D22),OR(ISNUMBER('Ввод данных и результаты'!D7),ISNUMBER('Ввод данных и результаты'!E7))),(AVERAGE('Ввод данных и результаты'!D7,'Ввод данных и результаты'!E7)-$J$45*$L$45),-1)</f>
        <v>-1</v>
      </c>
      <c r="G22" t="e">
        <f>ABS(E22-B22)/E22</f>
        <v>#N/A</v>
      </c>
      <c r="H22">
        <f t="shared" si="1"/>
        <v>0</v>
      </c>
      <c r="I22">
        <f t="shared" si="2"/>
        <v>1000000</v>
      </c>
      <c r="J22">
        <f t="shared" si="3"/>
        <v>-1000000</v>
      </c>
      <c r="M22" s="47"/>
      <c r="N22" s="48"/>
      <c r="O22" s="48"/>
      <c r="P22" s="48"/>
      <c r="Q22" s="48"/>
      <c r="R22" s="50"/>
      <c r="S22" s="50"/>
      <c r="T22" s="50"/>
      <c r="U22" s="50"/>
      <c r="V22" s="48"/>
      <c r="W22" s="48"/>
      <c r="X22" s="49"/>
      <c r="Y22" s="57"/>
      <c r="Z22" s="58"/>
      <c r="AA22" s="58"/>
      <c r="AB22" s="58"/>
      <c r="AC22" s="58"/>
      <c r="AD22" s="58"/>
      <c r="AE22" s="58"/>
      <c r="AF22" s="59"/>
    </row>
    <row r="23" spans="1:32" ht="14.25" customHeight="1">
      <c r="A23" s="11">
        <f>IF(AND(ISNUMBER(D23),OR(ISNUMBER('Ввод данных и результаты'!D8),ISNUMBER('Ввод данных и результаты'!E8))),(AVERAGE('Ввод данных и результаты'!D8,'Ввод данных и результаты'!E8)-$J$45*$L$45),80)</f>
        <v>80</v>
      </c>
      <c r="B23" t="e">
        <f>IF(ISNUMBER('Ввод данных и результаты'!C8),'Ввод данных и результаты'!C8,NA())</f>
        <v>#N/A</v>
      </c>
      <c r="C23" s="43" t="e">
        <f>IF(AND(ISNUMBER(D23),OR(ISNUMBER('Ввод данных и результаты'!D8),ISNUMBER('Ввод данных и результаты'!E8))),IF($J$46="+",LN(AVERAGE('Ввод данных и результаты'!D8,'Ввод данных и результаты'!E8)-$J$45*$L$45),AVERAGE('Ввод данных и результаты'!D8,'Ввод данных и результаты'!E8)-$J$45*$L$45),NA())</f>
        <v>#N/A</v>
      </c>
      <c r="D23" s="2" t="e">
        <f>IF(ISNUMBER('Ввод данных и результаты'!C8),IF($J$81="+",LN('Ввод данных и результаты'!C8),'Ввод данных и результаты'!C8),NA())</f>
        <v>#N/A</v>
      </c>
      <c r="E23" s="11">
        <f>IF(AND(ISNUMBER(D23),OR(ISNUMBER('Ввод данных и результаты'!D8),ISNUMBER('Ввод данных и результаты'!E8))),(AVERAGE('Ввод данных и результаты'!D8,'Ввод данных и результаты'!E8)-$J$45*$L$45),-1)</f>
        <v>-1</v>
      </c>
      <c r="G23" t="e">
        <f>ABS(E23-B23)/E23</f>
        <v>#N/A</v>
      </c>
      <c r="H23">
        <f t="shared" si="1"/>
        <v>0</v>
      </c>
      <c r="I23">
        <f t="shared" si="2"/>
        <v>1000000</v>
      </c>
      <c r="J23">
        <f t="shared" si="3"/>
        <v>-1000000</v>
      </c>
      <c r="M23" s="47"/>
      <c r="N23" s="48"/>
      <c r="O23" s="48"/>
      <c r="P23" s="48"/>
      <c r="Q23" s="48"/>
      <c r="R23" s="50"/>
      <c r="S23" s="50"/>
      <c r="T23" s="50"/>
      <c r="U23" s="50"/>
      <c r="V23" s="48"/>
      <c r="W23" s="48"/>
      <c r="X23" s="49"/>
      <c r="Y23" s="57"/>
      <c r="Z23" s="58"/>
      <c r="AA23" s="58"/>
      <c r="AB23" s="58"/>
      <c r="AC23" s="58"/>
      <c r="AD23" s="58"/>
      <c r="AE23" s="58"/>
      <c r="AF23" s="59"/>
    </row>
    <row r="24" spans="1:32" ht="14.25" customHeight="1">
      <c r="A24" s="11">
        <f>IF(AND(ISNUMBER(D24),OR(ISNUMBER('Ввод данных и результаты'!D9),ISNUMBER('Ввод данных и результаты'!E9))),(AVERAGE('Ввод данных и результаты'!D9,'Ввод данных и результаты'!E9)-$J$45*$L$45),80)</f>
        <v>80</v>
      </c>
      <c r="B24" t="e">
        <f>IF(ISNUMBER('Ввод данных и результаты'!C9),'Ввод данных и результаты'!C9,NA())</f>
        <v>#N/A</v>
      </c>
      <c r="C24" s="43" t="e">
        <f>IF(AND(ISNUMBER(D24),OR(ISNUMBER('Ввод данных и результаты'!D9),ISNUMBER('Ввод данных и результаты'!E9))),IF($J$46="+",LN(AVERAGE('Ввод данных и результаты'!D9,'Ввод данных и результаты'!E9)-$J$45*$L$45),AVERAGE('Ввод данных и результаты'!D9,'Ввод данных и результаты'!E9)-$J$45*$L$45),NA())</f>
        <v>#N/A</v>
      </c>
      <c r="D24" s="2" t="e">
        <f>IF(ISNUMBER('Ввод данных и результаты'!C9),IF($J$81="+",LN('Ввод данных и результаты'!C9),'Ввод данных и результаты'!C9),NA())</f>
        <v>#N/A</v>
      </c>
      <c r="E24" s="11">
        <f>IF(AND(ISNUMBER(D24),OR(ISNUMBER('Ввод данных и результаты'!D9),ISNUMBER('Ввод данных и результаты'!E9))),(AVERAGE('Ввод данных и результаты'!D9,'Ввод данных и результаты'!E9)-$J$45*$L$45),-1)</f>
        <v>-1</v>
      </c>
      <c r="G24" t="e">
        <f>ABS(E24-B24)/E24</f>
        <v>#N/A</v>
      </c>
      <c r="H24">
        <f t="shared" si="1"/>
        <v>0</v>
      </c>
      <c r="I24">
        <f t="shared" si="2"/>
        <v>1000000</v>
      </c>
      <c r="J24">
        <f t="shared" si="3"/>
        <v>-1000000</v>
      </c>
      <c r="M24" s="47"/>
      <c r="N24" s="48"/>
      <c r="O24" s="48"/>
      <c r="P24" s="48"/>
      <c r="Q24" s="48"/>
      <c r="R24" s="50"/>
      <c r="S24" s="50"/>
      <c r="T24" s="50"/>
      <c r="U24" s="50"/>
      <c r="V24" s="48"/>
      <c r="W24" s="48"/>
      <c r="X24" s="49"/>
      <c r="Y24" s="57"/>
      <c r="Z24" s="58"/>
      <c r="AA24" s="58"/>
      <c r="AB24" s="58"/>
      <c r="AC24" s="58"/>
      <c r="AD24" s="58"/>
      <c r="AE24" s="58"/>
      <c r="AF24" s="59"/>
    </row>
    <row r="25" spans="1:32" ht="14.25" customHeight="1">
      <c r="A25" s="11">
        <f>IF(AND(ISNUMBER(D25),OR(ISNUMBER('Ввод данных и результаты'!D10),ISNUMBER('Ввод данных и результаты'!E10))),(AVERAGE('Ввод данных и результаты'!D10,'Ввод данных и результаты'!E10)-$J$45*$L$45),80)</f>
        <v>80</v>
      </c>
      <c r="B25" t="e">
        <f>IF(ISNUMBER('Ввод данных и результаты'!C10),'Ввод данных и результаты'!C10,NA())</f>
        <v>#N/A</v>
      </c>
      <c r="C25" s="43" t="e">
        <f>IF(AND(ISNUMBER(D25),OR(ISNUMBER('Ввод данных и результаты'!D10),ISNUMBER('Ввод данных и результаты'!E10))),IF($J$46="+",LN(AVERAGE('Ввод данных и результаты'!D10,'Ввод данных и результаты'!E10)-$J$45*$L$45),AVERAGE('Ввод данных и результаты'!D10,'Ввод данных и результаты'!E10)-$J$45*$L$45),NA())</f>
        <v>#N/A</v>
      </c>
      <c r="D25" s="2" t="e">
        <f>IF(ISNUMBER('Ввод данных и результаты'!C10),IF($J$81="+",LN('Ввод данных и результаты'!C10),'Ввод данных и результаты'!C10),NA())</f>
        <v>#N/A</v>
      </c>
      <c r="E25" s="11">
        <f>IF(AND(ISNUMBER(D25),OR(ISNUMBER('Ввод данных и результаты'!D10),ISNUMBER('Ввод данных и результаты'!E10))),(AVERAGE('Ввод данных и результаты'!D10,'Ввод данных и результаты'!E10)-$J$45*$L$45),-1)</f>
        <v>-1</v>
      </c>
      <c r="G25" t="e">
        <f>ABS(E25-B25)/E25</f>
        <v>#N/A</v>
      </c>
      <c r="H25">
        <f t="shared" si="1"/>
        <v>0</v>
      </c>
      <c r="I25">
        <f t="shared" si="2"/>
        <v>1000000</v>
      </c>
      <c r="J25">
        <f t="shared" si="3"/>
        <v>-1000000</v>
      </c>
      <c r="M25" s="47"/>
      <c r="N25" s="48"/>
      <c r="O25" s="48"/>
      <c r="P25" s="48"/>
      <c r="Q25" s="48"/>
      <c r="R25" s="48"/>
      <c r="S25" s="48"/>
      <c r="T25" s="48"/>
      <c r="U25" s="48"/>
      <c r="V25" s="48"/>
      <c r="W25" s="48"/>
      <c r="X25" s="49"/>
      <c r="Y25" s="57"/>
      <c r="Z25" s="58"/>
      <c r="AA25" s="58"/>
      <c r="AB25" s="58"/>
      <c r="AC25" s="58"/>
      <c r="AD25" s="58"/>
      <c r="AE25" s="58"/>
      <c r="AF25" s="59"/>
    </row>
    <row r="26" spans="1:32" ht="14.25" customHeight="1">
      <c r="A26" s="11">
        <f>IF(AND(ISNUMBER(D26),OR(ISNUMBER('Ввод данных и результаты'!D11),ISNUMBER('Ввод данных и результаты'!E11))),(AVERAGE('Ввод данных и результаты'!D11,'Ввод данных и результаты'!E11)-$J$45*$L$45),80)</f>
        <v>80</v>
      </c>
      <c r="B26" t="e">
        <f>IF(ISNUMBER('Ввод данных и результаты'!C11),'Ввод данных и результаты'!C11,NA())</f>
        <v>#N/A</v>
      </c>
      <c r="C26" s="43" t="e">
        <f>IF(AND(ISNUMBER(D26),OR(ISNUMBER('Ввод данных и результаты'!D11),ISNUMBER('Ввод данных и результаты'!E11))),IF($J$46="+",LN(AVERAGE('Ввод данных и результаты'!D11,'Ввод данных и результаты'!E11)-$J$45*$L$45),AVERAGE('Ввод данных и результаты'!D11,'Ввод данных и результаты'!E11)-$J$45*$L$45),NA())</f>
        <v>#N/A</v>
      </c>
      <c r="D26" s="2" t="e">
        <f>IF(ISNUMBER('Ввод данных и результаты'!C11),IF($J$81="+",LN('Ввод данных и результаты'!C11),'Ввод данных и результаты'!C11),NA())</f>
        <v>#N/A</v>
      </c>
      <c r="E26" s="11">
        <f>IF(AND(ISNUMBER(D26),OR(ISNUMBER('Ввод данных и результаты'!D11),ISNUMBER('Ввод данных и результаты'!E11))),(AVERAGE('Ввод данных и результаты'!D11,'Ввод данных и результаты'!E11)-$J$45*$L$45),-1)</f>
        <v>-1</v>
      </c>
      <c r="G26" t="e">
        <f aca="true" t="shared" si="4" ref="G26:G31">(E26-B26)/E26</f>
        <v>#N/A</v>
      </c>
      <c r="H26">
        <f t="shared" si="1"/>
        <v>0</v>
      </c>
      <c r="I26">
        <f t="shared" si="2"/>
        <v>1000000</v>
      </c>
      <c r="J26">
        <f t="shared" si="3"/>
        <v>-1000000</v>
      </c>
      <c r="M26" s="47"/>
      <c r="N26" s="48"/>
      <c r="O26" s="48"/>
      <c r="P26" s="48"/>
      <c r="Q26" s="48"/>
      <c r="R26" s="48"/>
      <c r="S26" s="48"/>
      <c r="T26" s="48"/>
      <c r="U26" s="48"/>
      <c r="V26" s="48"/>
      <c r="W26" s="48"/>
      <c r="X26" s="49"/>
      <c r="Y26" s="57"/>
      <c r="Z26" s="58"/>
      <c r="AA26" s="58"/>
      <c r="AB26" s="58"/>
      <c r="AC26" s="58"/>
      <c r="AD26" s="58"/>
      <c r="AE26" s="58"/>
      <c r="AF26" s="59"/>
    </row>
    <row r="27" spans="1:32" ht="14.25" customHeight="1">
      <c r="A27" s="11">
        <f>IF(AND(ISNUMBER(D27),OR(ISNUMBER('Ввод данных и результаты'!D12),ISNUMBER('Ввод данных и результаты'!E12))),(AVERAGE('Ввод данных и результаты'!D12,'Ввод данных и результаты'!E12)-$J$45*$L$45),80)</f>
        <v>80</v>
      </c>
      <c r="B27" t="e">
        <f>IF(ISNUMBER('Ввод данных и результаты'!C12),'Ввод данных и результаты'!C12,NA())</f>
        <v>#N/A</v>
      </c>
      <c r="C27" s="43" t="e">
        <f>IF(AND(ISNUMBER(D27),OR(ISNUMBER('Ввод данных и результаты'!D12),ISNUMBER('Ввод данных и результаты'!E12))),IF($J$46="+",LN(AVERAGE('Ввод данных и результаты'!D12,'Ввод данных и результаты'!E12)-$J$45*$L$45),AVERAGE('Ввод данных и результаты'!D12,'Ввод данных и результаты'!E12)-$J$45*$L$45),NA())</f>
        <v>#N/A</v>
      </c>
      <c r="D27" s="2" t="e">
        <f>IF(ISNUMBER('Ввод данных и результаты'!C12),IF($J$81="+",LN('Ввод данных и результаты'!C12),'Ввод данных и результаты'!C12),NA())</f>
        <v>#N/A</v>
      </c>
      <c r="E27" s="11">
        <f>IF(AND(ISNUMBER(D27),OR(ISNUMBER('Ввод данных и результаты'!D12),ISNUMBER('Ввод данных и результаты'!E12))),(AVERAGE('Ввод данных и результаты'!D12,'Ввод данных и результаты'!E12)-$J$45*$L$45),-1)</f>
        <v>-1</v>
      </c>
      <c r="G27" t="e">
        <f t="shared" si="4"/>
        <v>#N/A</v>
      </c>
      <c r="H27">
        <f t="shared" si="1"/>
        <v>0</v>
      </c>
      <c r="I27">
        <f t="shared" si="2"/>
        <v>1000000</v>
      </c>
      <c r="J27">
        <f t="shared" si="3"/>
        <v>-1000000</v>
      </c>
      <c r="M27" s="47"/>
      <c r="N27" s="48"/>
      <c r="O27" s="48"/>
      <c r="P27" s="48"/>
      <c r="Q27" s="48"/>
      <c r="R27" s="48"/>
      <c r="S27" s="48"/>
      <c r="T27" s="48"/>
      <c r="U27" s="48"/>
      <c r="V27" s="48"/>
      <c r="W27" s="48"/>
      <c r="X27" s="49"/>
      <c r="Y27" s="57"/>
      <c r="Z27" s="58"/>
      <c r="AA27" s="58"/>
      <c r="AB27" s="58"/>
      <c r="AC27" s="58"/>
      <c r="AD27" s="58"/>
      <c r="AE27" s="58"/>
      <c r="AF27" s="59"/>
    </row>
    <row r="28" spans="1:32" ht="14.25" customHeight="1">
      <c r="A28" s="11">
        <f>IF(AND(ISNUMBER(D28),OR(ISNUMBER('Ввод данных и результаты'!D13),ISNUMBER('Ввод данных и результаты'!E13))),(AVERAGE('Ввод данных и результаты'!D13,'Ввод данных и результаты'!E13)-$J$45*$L$45),80)</f>
        <v>80</v>
      </c>
      <c r="B28" t="e">
        <f>IF(ISNUMBER('Ввод данных и результаты'!C13),'Ввод данных и результаты'!C13,NA())</f>
        <v>#N/A</v>
      </c>
      <c r="C28" s="43" t="e">
        <f>IF(AND(ISNUMBER(D28),OR(ISNUMBER('Ввод данных и результаты'!D13),ISNUMBER('Ввод данных и результаты'!E13))),IF($J$46="+",LN(AVERAGE('Ввод данных и результаты'!D13,'Ввод данных и результаты'!E13)-$J$45*$L$45),AVERAGE('Ввод данных и результаты'!D13,'Ввод данных и результаты'!E13)-$J$45*$L$45),NA())</f>
        <v>#N/A</v>
      </c>
      <c r="D28" s="2" t="e">
        <f>IF(ISNUMBER('Ввод данных и результаты'!C13),IF($J$81="+",LN('Ввод данных и результаты'!C13),'Ввод данных и результаты'!C13),NA())</f>
        <v>#N/A</v>
      </c>
      <c r="E28" s="11">
        <f>IF(AND(ISNUMBER(D28),OR(ISNUMBER('Ввод данных и результаты'!D13),ISNUMBER('Ввод данных и результаты'!E13))),(AVERAGE('Ввод данных и результаты'!D13,'Ввод данных и результаты'!E13)-$J$45*$L$45),-1)</f>
        <v>-1</v>
      </c>
      <c r="G28" t="e">
        <f t="shared" si="4"/>
        <v>#N/A</v>
      </c>
      <c r="H28">
        <f t="shared" si="1"/>
        <v>0</v>
      </c>
      <c r="I28">
        <f t="shared" si="2"/>
        <v>1000000</v>
      </c>
      <c r="J28">
        <f t="shared" si="3"/>
        <v>-1000000</v>
      </c>
      <c r="M28" s="47"/>
      <c r="N28" s="48"/>
      <c r="O28" s="48"/>
      <c r="P28" s="48"/>
      <c r="Q28" s="48"/>
      <c r="R28" s="48"/>
      <c r="S28" s="48"/>
      <c r="T28" s="48"/>
      <c r="U28" s="48"/>
      <c r="V28" s="48"/>
      <c r="W28" s="48"/>
      <c r="X28" s="49"/>
      <c r="Y28" s="57"/>
      <c r="Z28" s="58"/>
      <c r="AA28" s="58"/>
      <c r="AB28" s="58"/>
      <c r="AC28" s="58"/>
      <c r="AD28" s="58"/>
      <c r="AE28" s="58"/>
      <c r="AF28" s="59"/>
    </row>
    <row r="29" spans="1:32" ht="14.25" customHeight="1">
      <c r="A29" s="11">
        <f>IF(AND(ISNUMBER(D29),OR(ISNUMBER('Ввод данных и результаты'!D14),ISNUMBER('Ввод данных и результаты'!E14))),(AVERAGE('Ввод данных и результаты'!D14,'Ввод данных и результаты'!E14)-$J$45*$L$45),80)</f>
        <v>80</v>
      </c>
      <c r="B29" t="e">
        <f>IF(ISNUMBER('Ввод данных и результаты'!C14),'Ввод данных и результаты'!C14,NA())</f>
        <v>#N/A</v>
      </c>
      <c r="C29" s="43" t="e">
        <f>IF(AND(ISNUMBER(D29),OR(ISNUMBER('Ввод данных и результаты'!D14),ISNUMBER('Ввод данных и результаты'!E14))),IF($J$46="+",LN(AVERAGE('Ввод данных и результаты'!D14,'Ввод данных и результаты'!E14)-$J$45*$L$45),AVERAGE('Ввод данных и результаты'!D14,'Ввод данных и результаты'!E14)-$J$45*$L$45),NA())</f>
        <v>#N/A</v>
      </c>
      <c r="D29" s="2" t="e">
        <f>IF(ISNUMBER('Ввод данных и результаты'!C14),IF($J$81="+",LN('Ввод данных и результаты'!C14),'Ввод данных и результаты'!C14),NA())</f>
        <v>#N/A</v>
      </c>
      <c r="E29" s="11">
        <f>IF(AND(ISNUMBER(D29),OR(ISNUMBER('Ввод данных и результаты'!D14),ISNUMBER('Ввод данных и результаты'!E14))),(AVERAGE('Ввод данных и результаты'!D14,'Ввод данных и результаты'!E14)-$J$45*$L$45),-1)</f>
        <v>-1</v>
      </c>
      <c r="G29" t="e">
        <f t="shared" si="4"/>
        <v>#N/A</v>
      </c>
      <c r="H29">
        <f t="shared" si="1"/>
        <v>0</v>
      </c>
      <c r="I29">
        <f t="shared" si="2"/>
        <v>1000000</v>
      </c>
      <c r="J29">
        <f t="shared" si="3"/>
        <v>-1000000</v>
      </c>
      <c r="M29" s="47"/>
      <c r="N29" s="48"/>
      <c r="O29" s="48"/>
      <c r="P29" s="48"/>
      <c r="Q29" s="48"/>
      <c r="R29" s="48"/>
      <c r="S29" s="48"/>
      <c r="T29" s="48"/>
      <c r="U29" s="48"/>
      <c r="V29" s="48"/>
      <c r="W29" s="48"/>
      <c r="X29" s="49"/>
      <c r="Y29" s="57"/>
      <c r="Z29" s="58"/>
      <c r="AA29" s="58"/>
      <c r="AB29" s="58"/>
      <c r="AC29" s="58"/>
      <c r="AD29" s="58"/>
      <c r="AE29" s="58"/>
      <c r="AF29" s="59"/>
    </row>
    <row r="30" spans="1:32" ht="14.25" customHeight="1">
      <c r="A30" s="11">
        <f>IF(AND(ISNUMBER(D30),OR(ISNUMBER('Ввод данных и результаты'!D15),ISNUMBER('Ввод данных и результаты'!E15))),(AVERAGE('Ввод данных и результаты'!D15,'Ввод данных и результаты'!E15)-$J$45*$L$45),80)</f>
        <v>80</v>
      </c>
      <c r="B30" t="e">
        <f>IF(ISNUMBER('Ввод данных и результаты'!C15),'Ввод данных и результаты'!C15,NA())</f>
        <v>#N/A</v>
      </c>
      <c r="C30" s="43" t="e">
        <f>IF(AND(ISNUMBER(D30),OR(ISNUMBER('Ввод данных и результаты'!D15),ISNUMBER('Ввод данных и результаты'!E15))),IF($J$46="+",LN(AVERAGE('Ввод данных и результаты'!D15,'Ввод данных и результаты'!E15)-$J$45*$L$45),AVERAGE('Ввод данных и результаты'!D15,'Ввод данных и результаты'!E15)-$J$45*$L$45),NA())</f>
        <v>#N/A</v>
      </c>
      <c r="D30" s="2" t="e">
        <f>IF(ISNUMBER('Ввод данных и результаты'!C15),IF($J$81="+",LN('Ввод данных и результаты'!C15),'Ввод данных и результаты'!C15),NA())</f>
        <v>#N/A</v>
      </c>
      <c r="E30" s="11">
        <f>IF(AND(ISNUMBER(D30),OR(ISNUMBER('Ввод данных и результаты'!D15),ISNUMBER('Ввод данных и результаты'!E15))),(AVERAGE('Ввод данных и результаты'!D15,'Ввод данных и результаты'!E15)-$J$45*$L$45),-1)</f>
        <v>-1</v>
      </c>
      <c r="G30" t="e">
        <f t="shared" si="4"/>
        <v>#N/A</v>
      </c>
      <c r="H30">
        <f t="shared" si="1"/>
        <v>0</v>
      </c>
      <c r="I30">
        <f t="shared" si="2"/>
        <v>1000000</v>
      </c>
      <c r="J30">
        <f t="shared" si="3"/>
        <v>-1000000</v>
      </c>
      <c r="M30" s="47"/>
      <c r="N30" s="48"/>
      <c r="O30" s="48"/>
      <c r="P30" s="48"/>
      <c r="Q30" s="48"/>
      <c r="R30" s="48"/>
      <c r="S30" s="48"/>
      <c r="T30" s="48"/>
      <c r="U30" s="48"/>
      <c r="V30" s="48"/>
      <c r="W30" s="48"/>
      <c r="X30" s="49"/>
      <c r="Y30" s="57"/>
      <c r="Z30" s="58"/>
      <c r="AA30" s="58"/>
      <c r="AB30" s="58"/>
      <c r="AC30" s="58"/>
      <c r="AD30" s="58"/>
      <c r="AE30" s="58"/>
      <c r="AF30" s="59"/>
    </row>
    <row r="31" spans="1:32" ht="14.25" customHeight="1">
      <c r="A31" s="11">
        <f>IF(AND(ISNUMBER(D31),OR(ISNUMBER('Ввод данных и результаты'!D16),ISNUMBER('Ввод данных и результаты'!E16))),(AVERAGE('Ввод данных и результаты'!D16,'Ввод данных и результаты'!E16)-$J$45*$L$45),80)</f>
        <v>80</v>
      </c>
      <c r="B31" t="e">
        <f>IF(ISNUMBER('Ввод данных и результаты'!C16),'Ввод данных и результаты'!C16,NA())</f>
        <v>#N/A</v>
      </c>
      <c r="C31" s="43" t="e">
        <f>IF(AND(ISNUMBER(D31),OR(ISNUMBER('Ввод данных и результаты'!D16),ISNUMBER('Ввод данных и результаты'!E16))),IF($J$46="+",LN(AVERAGE('Ввод данных и результаты'!D16,'Ввод данных и результаты'!E16)-$J$45*$L$45),AVERAGE('Ввод данных и результаты'!D16,'Ввод данных и результаты'!E16)-$J$45*$L$45),NA())</f>
        <v>#N/A</v>
      </c>
      <c r="D31" s="2" t="e">
        <f>IF(ISNUMBER('Ввод данных и результаты'!C16),IF($J$81="+",LN('Ввод данных и результаты'!C16),'Ввод данных и результаты'!C16),NA())</f>
        <v>#N/A</v>
      </c>
      <c r="E31" s="11">
        <f>IF(AND(ISNUMBER(D31),OR(ISNUMBER('Ввод данных и результаты'!D16),ISNUMBER('Ввод данных и результаты'!E16))),(AVERAGE('Ввод данных и результаты'!D16,'Ввод данных и результаты'!E16)-$J$45*$L$45),-1)</f>
        <v>-1</v>
      </c>
      <c r="G31" t="e">
        <f t="shared" si="4"/>
        <v>#N/A</v>
      </c>
      <c r="H31">
        <f t="shared" si="1"/>
        <v>0</v>
      </c>
      <c r="I31">
        <v>1000000</v>
      </c>
      <c r="J31">
        <f t="shared" si="3"/>
        <v>-1000000</v>
      </c>
      <c r="K31">
        <f>Рабочий!$G$8*I7*I7*I7*I7*I7+Рабочий!$G$9*I7*I7*I7*I7+Рабочий!$G$10*I7*I7*I7+Рабочий!$G$11*I7*I7+Рабочий!$G$12*I7+Рабочий!$G$13</f>
        <v>167.10349999999977</v>
      </c>
      <c r="M31" s="47"/>
      <c r="N31" s="48"/>
      <c r="O31" s="48"/>
      <c r="P31" s="48"/>
      <c r="Q31" s="48"/>
      <c r="R31" s="48"/>
      <c r="S31" s="48"/>
      <c r="T31" s="48"/>
      <c r="U31" s="48"/>
      <c r="V31" s="48"/>
      <c r="W31" s="48"/>
      <c r="X31" s="49"/>
      <c r="Y31" s="57"/>
      <c r="Z31" s="58"/>
      <c r="AA31" s="58"/>
      <c r="AB31" s="58"/>
      <c r="AC31" s="58"/>
      <c r="AD31" s="58"/>
      <c r="AE31" s="58"/>
      <c r="AF31" s="59"/>
    </row>
    <row r="32" spans="13:32" ht="14.25" customHeight="1">
      <c r="M32" s="47"/>
      <c r="N32" s="48"/>
      <c r="O32" s="48"/>
      <c r="P32" s="48"/>
      <c r="Q32" s="48"/>
      <c r="R32" s="48"/>
      <c r="S32" s="48"/>
      <c r="T32" s="48"/>
      <c r="U32" s="48"/>
      <c r="V32" s="48"/>
      <c r="W32" s="48"/>
      <c r="X32" s="49"/>
      <c r="Y32" s="57"/>
      <c r="Z32" s="58"/>
      <c r="AA32" s="58"/>
      <c r="AB32" s="58"/>
      <c r="AC32" s="58"/>
      <c r="AD32" s="58"/>
      <c r="AE32" s="58"/>
      <c r="AF32" s="59"/>
    </row>
    <row r="33" spans="1:32" ht="14.25" customHeight="1">
      <c r="A33">
        <v>1</v>
      </c>
      <c r="B33">
        <v>2</v>
      </c>
      <c r="C33">
        <v>3</v>
      </c>
      <c r="D33">
        <v>4</v>
      </c>
      <c r="E33">
        <v>5</v>
      </c>
      <c r="F33">
        <v>6</v>
      </c>
      <c r="G33">
        <v>7</v>
      </c>
      <c r="H33">
        <v>8</v>
      </c>
      <c r="I33">
        <v>9</v>
      </c>
      <c r="M33" s="47"/>
      <c r="N33" s="48"/>
      <c r="O33" s="48"/>
      <c r="P33" s="48"/>
      <c r="Q33" s="48"/>
      <c r="R33" s="48"/>
      <c r="S33" s="48"/>
      <c r="T33" s="48"/>
      <c r="U33" s="48"/>
      <c r="V33" s="48"/>
      <c r="W33" s="48"/>
      <c r="X33" s="49"/>
      <c r="Y33" s="57"/>
      <c r="Z33" s="58"/>
      <c r="AA33" s="58"/>
      <c r="AB33" s="58"/>
      <c r="AC33" s="58"/>
      <c r="AD33" s="58"/>
      <c r="AE33" s="58"/>
      <c r="AF33" s="59"/>
    </row>
    <row r="34" spans="1:32" ht="14.25" customHeight="1">
      <c r="A34">
        <f>MIN(A20:A31)</f>
        <v>80</v>
      </c>
      <c r="D34">
        <f>MAX('Ввод данных и результаты'!C5:C16)</f>
        <v>0</v>
      </c>
      <c r="E34">
        <f>MAX(E20:E31)</f>
        <v>-1</v>
      </c>
      <c r="I34">
        <f>MIN(I20:I31)</f>
        <v>1000000</v>
      </c>
      <c r="J34">
        <f>MAX(J20:J31)</f>
        <v>-1000000</v>
      </c>
      <c r="M34" s="47"/>
      <c r="N34" s="48"/>
      <c r="O34" s="48"/>
      <c r="P34" s="48"/>
      <c r="Q34" s="48"/>
      <c r="R34" s="48"/>
      <c r="S34" s="48"/>
      <c r="T34" s="48"/>
      <c r="U34" s="48"/>
      <c r="V34" s="48"/>
      <c r="W34" s="48"/>
      <c r="X34" s="49"/>
      <c r="Y34" s="57"/>
      <c r="Z34" s="58"/>
      <c r="AA34" s="58"/>
      <c r="AB34" s="58"/>
      <c r="AC34" s="58"/>
      <c r="AD34" s="58"/>
      <c r="AE34" s="58"/>
      <c r="AF34" s="59"/>
    </row>
    <row r="35" spans="13:32" ht="14.25" customHeight="1">
      <c r="M35" s="47"/>
      <c r="N35" s="48"/>
      <c r="O35" s="48"/>
      <c r="P35" s="48"/>
      <c r="Q35" s="48"/>
      <c r="R35" s="48"/>
      <c r="S35" s="48"/>
      <c r="T35" s="48"/>
      <c r="U35" s="48"/>
      <c r="V35" s="48"/>
      <c r="W35" s="48"/>
      <c r="X35" s="49"/>
      <c r="Y35" s="57"/>
      <c r="Z35" s="58"/>
      <c r="AA35" s="58"/>
      <c r="AB35" s="58"/>
      <c r="AC35" s="58"/>
      <c r="AD35" s="58"/>
      <c r="AE35" s="58"/>
      <c r="AF35" s="59"/>
    </row>
    <row r="36" spans="5:32" ht="14.25" customHeight="1">
      <c r="E36" s="38"/>
      <c r="M36" s="47"/>
      <c r="N36" s="48"/>
      <c r="O36" s="48"/>
      <c r="P36" s="48"/>
      <c r="Q36" s="48"/>
      <c r="R36" s="48"/>
      <c r="S36" s="48"/>
      <c r="T36" s="48"/>
      <c r="U36" s="48"/>
      <c r="V36" s="48"/>
      <c r="W36" s="48"/>
      <c r="X36" s="49"/>
      <c r="Y36" s="57"/>
      <c r="Z36" s="58"/>
      <c r="AA36" s="58"/>
      <c r="AB36" s="58"/>
      <c r="AC36" s="58"/>
      <c r="AD36" s="58"/>
      <c r="AE36" s="58"/>
      <c r="AF36" s="59"/>
    </row>
    <row r="37" spans="5:32" ht="14.25" customHeight="1">
      <c r="E37" s="38"/>
      <c r="M37" s="47"/>
      <c r="N37" s="48"/>
      <c r="O37" s="48"/>
      <c r="P37" s="48"/>
      <c r="Q37" s="48"/>
      <c r="R37" s="48"/>
      <c r="S37" s="48"/>
      <c r="T37" s="48"/>
      <c r="U37" s="48"/>
      <c r="V37" s="48"/>
      <c r="W37" s="48"/>
      <c r="X37" s="49"/>
      <c r="Y37" s="57"/>
      <c r="Z37" s="58"/>
      <c r="AA37" s="58"/>
      <c r="AB37" s="58"/>
      <c r="AC37" s="58"/>
      <c r="AD37" s="58"/>
      <c r="AE37" s="58"/>
      <c r="AF37" s="59"/>
    </row>
    <row r="38" spans="5:32" ht="14.25" customHeight="1">
      <c r="E38" s="38"/>
      <c r="M38" s="47"/>
      <c r="N38" s="48"/>
      <c r="O38" s="48"/>
      <c r="P38" s="48"/>
      <c r="Q38" s="48"/>
      <c r="R38" s="48"/>
      <c r="S38" s="48"/>
      <c r="T38" s="48"/>
      <c r="U38" s="48"/>
      <c r="V38" s="48"/>
      <c r="W38" s="48"/>
      <c r="X38" s="49"/>
      <c r="Y38" s="57"/>
      <c r="Z38" s="58"/>
      <c r="AA38" s="58"/>
      <c r="AB38" s="58"/>
      <c r="AC38" s="58"/>
      <c r="AD38" s="58"/>
      <c r="AE38" s="58"/>
      <c r="AF38" s="59"/>
    </row>
    <row r="39" spans="5:32" ht="14.25" customHeight="1">
      <c r="E39" s="38"/>
      <c r="M39" s="47"/>
      <c r="N39" s="48"/>
      <c r="O39" s="48"/>
      <c r="P39" s="48"/>
      <c r="Q39" s="48"/>
      <c r="R39" s="48"/>
      <c r="S39" s="48"/>
      <c r="T39" s="48"/>
      <c r="U39" s="48"/>
      <c r="V39" s="48"/>
      <c r="W39" s="48"/>
      <c r="X39" s="49"/>
      <c r="Y39" s="57"/>
      <c r="Z39" s="58"/>
      <c r="AA39" s="58"/>
      <c r="AB39" s="58"/>
      <c r="AC39" s="58"/>
      <c r="AD39" s="58"/>
      <c r="AE39" s="58"/>
      <c r="AF39" s="59"/>
    </row>
    <row r="40" spans="4:32" ht="14.25" customHeight="1">
      <c r="D40" s="4"/>
      <c r="E40" s="38"/>
      <c r="M40" s="47"/>
      <c r="N40" s="48"/>
      <c r="O40" s="48"/>
      <c r="P40" s="48"/>
      <c r="Q40" s="48"/>
      <c r="R40" s="48"/>
      <c r="S40" s="48"/>
      <c r="T40" s="48"/>
      <c r="U40" s="48"/>
      <c r="V40" s="48"/>
      <c r="W40" s="48"/>
      <c r="X40" s="49"/>
      <c r="Y40" s="57"/>
      <c r="Z40" s="58"/>
      <c r="AA40" s="58"/>
      <c r="AB40" s="58"/>
      <c r="AC40" s="58"/>
      <c r="AD40" s="58"/>
      <c r="AE40" s="58"/>
      <c r="AF40" s="59"/>
    </row>
    <row r="41" spans="4:32" ht="14.25" customHeight="1">
      <c r="D41" s="4"/>
      <c r="E41" s="38"/>
      <c r="M41" s="47"/>
      <c r="N41" s="48"/>
      <c r="O41" s="48"/>
      <c r="P41" s="48"/>
      <c r="Q41" s="48"/>
      <c r="R41" s="48"/>
      <c r="S41" s="48"/>
      <c r="T41" s="48"/>
      <c r="U41" s="48"/>
      <c r="V41" s="48"/>
      <c r="W41" s="48"/>
      <c r="X41" s="49"/>
      <c r="Y41" s="57"/>
      <c r="Z41" s="58"/>
      <c r="AA41" s="58"/>
      <c r="AB41" s="58"/>
      <c r="AC41" s="58"/>
      <c r="AD41" s="58"/>
      <c r="AE41" s="58"/>
      <c r="AF41" s="59"/>
    </row>
    <row r="42" spans="4:32" ht="14.25" customHeight="1" thickBot="1">
      <c r="D42" s="4"/>
      <c r="E42" s="38"/>
      <c r="M42" s="51"/>
      <c r="N42" s="52"/>
      <c r="O42" s="52"/>
      <c r="P42" s="52"/>
      <c r="Q42" s="52"/>
      <c r="R42" s="52"/>
      <c r="S42" s="52"/>
      <c r="T42" s="52"/>
      <c r="U42" s="52"/>
      <c r="V42" s="52"/>
      <c r="W42" s="52"/>
      <c r="X42" s="53"/>
      <c r="Y42" s="60"/>
      <c r="Z42" s="61"/>
      <c r="AA42" s="61"/>
      <c r="AB42" s="61"/>
      <c r="AC42" s="61"/>
      <c r="AD42" s="61"/>
      <c r="AE42" s="61"/>
      <c r="AF42" s="62"/>
    </row>
    <row r="43" spans="4:5" ht="14.25" customHeight="1">
      <c r="D43" s="4"/>
      <c r="E43" s="38"/>
    </row>
    <row r="44" spans="4:10" ht="15" customHeight="1">
      <c r="D44" s="4"/>
      <c r="E44" s="38"/>
      <c r="H44" t="s">
        <v>54</v>
      </c>
      <c r="J44">
        <v>1</v>
      </c>
    </row>
    <row r="45" spans="4:12" ht="12.75">
      <c r="D45" s="4"/>
      <c r="H45" t="s">
        <v>62</v>
      </c>
      <c r="J45">
        <f>K48</f>
        <v>0</v>
      </c>
      <c r="L45">
        <f>IF(COUNT('Ввод данных и результаты'!C19:C22)&gt;0,AVERAGE('Ввод данных и результаты'!C19:C22),0)</f>
        <v>0</v>
      </c>
    </row>
    <row r="46" spans="4:10" ht="12.75">
      <c r="D46" s="4"/>
      <c r="H46" t="s">
        <v>55</v>
      </c>
      <c r="J46" t="str">
        <f>J48</f>
        <v>+</v>
      </c>
    </row>
    <row r="47" spans="4:16" ht="12.75">
      <c r="D47" s="4"/>
      <c r="H47" s="69" t="s">
        <v>69</v>
      </c>
      <c r="I47" t="s">
        <v>61</v>
      </c>
      <c r="J47" s="4" t="s">
        <v>70</v>
      </c>
      <c r="K47" s="4" t="s">
        <v>63</v>
      </c>
      <c r="L47" s="4" t="s">
        <v>71</v>
      </c>
      <c r="M47" s="4" t="s">
        <v>72</v>
      </c>
      <c r="N47" s="4" t="s">
        <v>73</v>
      </c>
      <c r="O47" s="4" t="s">
        <v>72</v>
      </c>
      <c r="P47" s="4" t="s">
        <v>73</v>
      </c>
    </row>
    <row r="48" spans="4:16" ht="12.75">
      <c r="D48" s="4"/>
      <c r="G48" s="7">
        <v>3</v>
      </c>
      <c r="H48" t="str">
        <f ca="1">INDIRECT(ADDRESS(94+$G$48,7))</f>
        <v>Т4-общ.</v>
      </c>
      <c r="I48">
        <f ca="1">INDIRECT(ADDRESS(94+$G$48,8))</f>
        <v>2</v>
      </c>
      <c r="J48" t="str">
        <f ca="1">INDIRECT(ADDRESS(94+$G$48,9))</f>
        <v>+</v>
      </c>
      <c r="K48">
        <f ca="1">INDIRECT(ADDRESS(94+$G$48,10))</f>
        <v>0</v>
      </c>
      <c r="L48" t="str">
        <f ca="1">INDIRECT(ADDRESS(94+$G$48,11))</f>
        <v>нмоль/л</v>
      </c>
      <c r="M48" t="str">
        <f ca="1">INDIRECT(ADDRESS(94+$G$48,12))</f>
        <v>&gt;-1000000</v>
      </c>
      <c r="N48">
        <f ca="1">INDIRECT(ADDRESS(94+$G$48,13))</f>
        <v>0</v>
      </c>
      <c r="O48">
        <f ca="1">INDIRECT(ADDRESS(94+$G$48,14))</f>
        <v>59</v>
      </c>
      <c r="P48">
        <f ca="1">INDIRECT(ADDRESS(94+$G$48,15))</f>
        <v>153</v>
      </c>
    </row>
    <row r="49" spans="3:27" ht="13.5" thickBot="1">
      <c r="C49" s="63"/>
      <c r="D49" s="4"/>
      <c r="X49" s="70"/>
      <c r="Y49" s="7"/>
      <c r="Z49" s="7"/>
      <c r="AA49" s="80"/>
    </row>
    <row r="50" spans="3:27" ht="13.5" thickBot="1">
      <c r="C50" s="63"/>
      <c r="D50" s="4"/>
      <c r="G50" t="s">
        <v>52</v>
      </c>
      <c r="H50" s="16"/>
      <c r="I50" s="16">
        <v>2</v>
      </c>
      <c r="J50" s="16">
        <v>3</v>
      </c>
      <c r="K50" s="16">
        <v>4</v>
      </c>
      <c r="L50" s="16">
        <v>5</v>
      </c>
      <c r="M50" s="16">
        <v>6</v>
      </c>
      <c r="N50" s="16">
        <v>7</v>
      </c>
      <c r="O50" s="16">
        <v>8</v>
      </c>
      <c r="P50" s="16">
        <v>9</v>
      </c>
      <c r="Q50" s="8">
        <v>10</v>
      </c>
      <c r="R50" s="8">
        <v>11</v>
      </c>
      <c r="S50" s="8">
        <v>12</v>
      </c>
      <c r="X50" s="70"/>
      <c r="Y50" s="7"/>
      <c r="Z50" s="7"/>
      <c r="AA50" s="80"/>
    </row>
    <row r="51" spans="3:27" ht="13.5" thickBot="1">
      <c r="C51" s="63"/>
      <c r="D51" s="4"/>
      <c r="G51" s="15" t="s">
        <v>8</v>
      </c>
      <c r="H51" s="39" t="str">
        <f>IF(ISNUMBER('Ввод данных и результаты'!I7),IF($J$46="+",LN('Ввод данных и результаты'!I7-$J$45*$L$45),'Ввод данных и результаты'!I7-$J$45*$L$45)," ")</f>
        <v> </v>
      </c>
      <c r="I51" s="39" t="str">
        <f>IF(ISNUMBER('Ввод данных и результаты'!J7),IF($J$46="+",LN('Ввод данных и результаты'!J7-$J$45*$L$45),'Ввод данных и результаты'!J7-$J$45*$L$45)," ")</f>
        <v> </v>
      </c>
      <c r="J51" s="39" t="str">
        <f>IF(ISNUMBER('Ввод данных и результаты'!K7),IF($J$46="+",LN('Ввод данных и результаты'!K7-$J$45*$L$45),'Ввод данных и результаты'!K7-$J$45*$L$45)," ")</f>
        <v> </v>
      </c>
      <c r="K51" s="39" t="str">
        <f>IF(ISNUMBER('Ввод данных и результаты'!L7),IF($J$46="+",LN('Ввод данных и результаты'!L7-$J$45*$L$45),'Ввод данных и результаты'!L7-$J$45*$L$45)," ")</f>
        <v> </v>
      </c>
      <c r="L51" s="39" t="str">
        <f>IF(ISNUMBER('Ввод данных и результаты'!M7),IF($J$46="+",LN('Ввод данных и результаты'!M7-$J$45*$L$45),'Ввод данных и результаты'!M7-$J$45*$L$45)," ")</f>
        <v> </v>
      </c>
      <c r="M51" s="39" t="str">
        <f>IF(ISNUMBER('Ввод данных и результаты'!N7),IF($J$46="+",LN('Ввод данных и результаты'!N7-$J$45*$L$45),'Ввод данных и результаты'!N7-$J$45*$L$45)," ")</f>
        <v> </v>
      </c>
      <c r="N51" s="39" t="str">
        <f>IF(ISNUMBER('Ввод данных и результаты'!O7),IF($J$46="+",LN('Ввод данных и результаты'!O7-$J$45*$L$45),'Ввод данных и результаты'!O7-$J$45*$L$45)," ")</f>
        <v> </v>
      </c>
      <c r="O51" s="39" t="str">
        <f>IF(ISNUMBER('Ввод данных и результаты'!P7),IF($J$46="+",LN('Ввод данных и результаты'!P7-$J$45*$L$45),'Ввод данных и результаты'!P7-$J$45*$L$45)," ")</f>
        <v> </v>
      </c>
      <c r="P51" s="39" t="str">
        <f>IF(ISNUMBER('Ввод данных и результаты'!Q7),IF($J$46="+",LN('Ввод данных и результаты'!Q7-$J$45*$L$45),'Ввод данных и результаты'!Q7-$J$45*$L$45)," ")</f>
        <v> </v>
      </c>
      <c r="Q51" s="39" t="str">
        <f>IF(ISNUMBER('Ввод данных и результаты'!R7),IF($J$46="+",LN('Ввод данных и результаты'!R7-$J$45*$L$45),'Ввод данных и результаты'!R7-$J$45*$L$45)," ")</f>
        <v> </v>
      </c>
      <c r="R51" s="39" t="str">
        <f>IF(ISNUMBER('Ввод данных и результаты'!S7),IF($J$46="+",LN('Ввод данных и результаты'!S7-$J$45*$L$45),'Ввод данных и результаты'!S7-$J$45*$L$45)," ")</f>
        <v> </v>
      </c>
      <c r="S51" s="39" t="str">
        <f>IF(ISNUMBER('Ввод данных и результаты'!T7),IF($J$46="+",LN('Ввод данных и результаты'!T7-$J$45*$L$45),'Ввод данных и результаты'!T7-$J$45*$L$45)," ")</f>
        <v> </v>
      </c>
      <c r="X51" s="70"/>
      <c r="Y51" s="7"/>
      <c r="Z51" s="7"/>
      <c r="AA51" s="80"/>
    </row>
    <row r="52" spans="3:27" ht="13.5" thickBot="1">
      <c r="C52" s="63"/>
      <c r="D52" s="4"/>
      <c r="G52" s="9" t="s">
        <v>9</v>
      </c>
      <c r="H52" s="39" t="str">
        <f>IF(ISNUMBER('Ввод данных и результаты'!I8),IF($J$46="+",LN('Ввод данных и результаты'!I8-$J$45*$L$45),'Ввод данных и результаты'!I8-$J$45*$L$45)," ")</f>
        <v> </v>
      </c>
      <c r="I52" s="39" t="str">
        <f>IF(ISNUMBER('Ввод данных и результаты'!J8),IF($J$46="+",LN('Ввод данных и результаты'!J8-$J$45*$L$45),'Ввод данных и результаты'!J8-$J$45*$L$45)," ")</f>
        <v> </v>
      </c>
      <c r="J52" s="39" t="str">
        <f>IF(ISNUMBER('Ввод данных и результаты'!K8),IF($J$46="+",LN('Ввод данных и результаты'!K8-$J$45*$L$45),'Ввод данных и результаты'!K8-$J$45*$L$45)," ")</f>
        <v> </v>
      </c>
      <c r="K52" s="39" t="str">
        <f>IF(ISNUMBER('Ввод данных и результаты'!L8),IF($J$46="+",LN('Ввод данных и результаты'!L8-$J$45*$L$45),'Ввод данных и результаты'!L8-$J$45*$L$45)," ")</f>
        <v> </v>
      </c>
      <c r="L52" s="39" t="str">
        <f>IF(ISNUMBER('Ввод данных и результаты'!M8),IF($J$46="+",LN('Ввод данных и результаты'!M8-$J$45*$L$45),'Ввод данных и результаты'!M8-$J$45*$L$45)," ")</f>
        <v> </v>
      </c>
      <c r="M52" s="39" t="str">
        <f>IF(ISNUMBER('Ввод данных и результаты'!N8),IF($J$46="+",LN('Ввод данных и результаты'!N8-$J$45*$L$45),'Ввод данных и результаты'!N8-$J$45*$L$45)," ")</f>
        <v> </v>
      </c>
      <c r="N52" s="39" t="str">
        <f>IF(ISNUMBER('Ввод данных и результаты'!O8),IF($J$46="+",LN('Ввод данных и результаты'!O8-$J$45*$L$45),'Ввод данных и результаты'!O8-$J$45*$L$45)," ")</f>
        <v> </v>
      </c>
      <c r="O52" s="39" t="str">
        <f>IF(ISNUMBER('Ввод данных и результаты'!P8),IF($J$46="+",LN('Ввод данных и результаты'!P8-$J$45*$L$45),'Ввод данных и результаты'!P8-$J$45*$L$45)," ")</f>
        <v> </v>
      </c>
      <c r="P52" s="39" t="str">
        <f>IF(ISNUMBER('Ввод данных и результаты'!Q8),IF($J$46="+",LN('Ввод данных и результаты'!Q8-$J$45*$L$45),'Ввод данных и результаты'!Q8-$J$45*$L$45)," ")</f>
        <v> </v>
      </c>
      <c r="Q52" s="39" t="str">
        <f>IF(ISNUMBER('Ввод данных и результаты'!R8),IF($J$46="+",LN('Ввод данных и результаты'!R8-$J$45*$L$45),'Ввод данных и результаты'!R8-$J$45*$L$45)," ")</f>
        <v> </v>
      </c>
      <c r="R52" s="39" t="str">
        <f>IF(ISNUMBER('Ввод данных и результаты'!S8),IF($J$46="+",LN('Ввод данных и результаты'!S8-$J$45*$L$45),'Ввод данных и результаты'!S8-$J$45*$L$45)," ")</f>
        <v> </v>
      </c>
      <c r="S52" s="39" t="str">
        <f>IF(ISNUMBER('Ввод данных и результаты'!T8),IF($J$46="+",LN('Ввод данных и результаты'!T8-$J$45*$L$45),'Ввод данных и результаты'!T8-$J$45*$L$45)," ")</f>
        <v> </v>
      </c>
      <c r="X52" s="70"/>
      <c r="Y52" s="7"/>
      <c r="Z52" s="7"/>
      <c r="AA52" s="80"/>
    </row>
    <row r="53" spans="7:27" ht="13.5" thickBot="1">
      <c r="G53" s="9" t="s">
        <v>10</v>
      </c>
      <c r="H53" s="39" t="str">
        <f>IF(ISNUMBER('Ввод данных и результаты'!I9),IF($J$46="+",LN('Ввод данных и результаты'!I9-$J$45*$L$45),'Ввод данных и результаты'!I9-$J$45*$L$45)," ")</f>
        <v> </v>
      </c>
      <c r="I53" s="39" t="str">
        <f>IF(ISNUMBER('Ввод данных и результаты'!J9),IF($J$46="+",LN('Ввод данных и результаты'!J9-$J$45*$L$45),'Ввод данных и результаты'!J9-$J$45*$L$45)," ")</f>
        <v> </v>
      </c>
      <c r="J53" s="39" t="str">
        <f>IF(ISNUMBER('Ввод данных и результаты'!K9),IF($J$46="+",LN('Ввод данных и результаты'!K9-$J$45*$L$45),'Ввод данных и результаты'!K9-$J$45*$L$45)," ")</f>
        <v> </v>
      </c>
      <c r="K53" s="39" t="str">
        <f>IF(ISNUMBER('Ввод данных и результаты'!L9),IF($J$46="+",LN('Ввод данных и результаты'!L9-$J$45*$L$45),'Ввод данных и результаты'!L9-$J$45*$L$45)," ")</f>
        <v> </v>
      </c>
      <c r="L53" s="39" t="str">
        <f>IF(ISNUMBER('Ввод данных и результаты'!M9),IF($J$46="+",LN('Ввод данных и результаты'!M9-$J$45*$L$45),'Ввод данных и результаты'!M9-$J$45*$L$45)," ")</f>
        <v> </v>
      </c>
      <c r="M53" s="39" t="str">
        <f>IF(ISNUMBER('Ввод данных и результаты'!N9),IF($J$46="+",LN('Ввод данных и результаты'!N9-$J$45*$L$45),'Ввод данных и результаты'!N9-$J$45*$L$45)," ")</f>
        <v> </v>
      </c>
      <c r="N53" s="39" t="str">
        <f>IF(ISNUMBER('Ввод данных и результаты'!O9),IF($J$46="+",LN('Ввод данных и результаты'!O9-$J$45*$L$45),'Ввод данных и результаты'!O9-$J$45*$L$45)," ")</f>
        <v> </v>
      </c>
      <c r="O53" s="39" t="str">
        <f>IF(ISNUMBER('Ввод данных и результаты'!P9),IF($J$46="+",LN('Ввод данных и результаты'!P9-$J$45*$L$45),'Ввод данных и результаты'!P9-$J$45*$L$45)," ")</f>
        <v> </v>
      </c>
      <c r="P53" s="39" t="str">
        <f>IF(ISNUMBER('Ввод данных и результаты'!Q9),IF($J$46="+",LN('Ввод данных и результаты'!Q9-$J$45*$L$45),'Ввод данных и результаты'!Q9-$J$45*$L$45)," ")</f>
        <v> </v>
      </c>
      <c r="Q53" s="39" t="str">
        <f>IF(ISNUMBER('Ввод данных и результаты'!R9),IF($J$46="+",LN('Ввод данных и результаты'!R9-$J$45*$L$45),'Ввод данных и результаты'!R9-$J$45*$L$45)," ")</f>
        <v> </v>
      </c>
      <c r="R53" s="39" t="str">
        <f>IF(ISNUMBER('Ввод данных и результаты'!S9),IF($J$46="+",LN('Ввод данных и результаты'!S9-$J$45*$L$45),'Ввод данных и результаты'!S9-$J$45*$L$45)," ")</f>
        <v> </v>
      </c>
      <c r="S53" s="39" t="str">
        <f>IF(ISNUMBER('Ввод данных и результаты'!T9),IF($J$46="+",LN('Ввод данных и результаты'!T9-$J$45*$L$45),'Ввод данных и результаты'!T9-$J$45*$L$45)," ")</f>
        <v> </v>
      </c>
      <c r="X53" s="70"/>
      <c r="Y53" s="7"/>
      <c r="Z53" s="7"/>
      <c r="AA53" s="80"/>
    </row>
    <row r="54" spans="3:27" ht="13.5" thickBot="1">
      <c r="C54" s="4"/>
      <c r="G54" s="9" t="s">
        <v>11</v>
      </c>
      <c r="H54" s="39" t="str">
        <f>IF(ISNUMBER('Ввод данных и результаты'!I10),IF($J$46="+",LN('Ввод данных и результаты'!I10-$J$45*$L$45),'Ввод данных и результаты'!I10-$J$45*$L$45)," ")</f>
        <v> </v>
      </c>
      <c r="I54" s="39" t="str">
        <f>IF(ISNUMBER('Ввод данных и результаты'!J10),IF($J$46="+",LN('Ввод данных и результаты'!J10-$J$45*$L$45),'Ввод данных и результаты'!J10-$J$45*$L$45)," ")</f>
        <v> </v>
      </c>
      <c r="J54" s="39" t="str">
        <f>IF(ISNUMBER('Ввод данных и результаты'!K10),IF($J$46="+",LN('Ввод данных и результаты'!K10-$J$45*$L$45),'Ввод данных и результаты'!K10-$J$45*$L$45)," ")</f>
        <v> </v>
      </c>
      <c r="K54" s="39" t="str">
        <f>IF(ISNUMBER('Ввод данных и результаты'!L10),IF($J$46="+",LN('Ввод данных и результаты'!L10-$J$45*$L$45),'Ввод данных и результаты'!L10-$J$45*$L$45)," ")</f>
        <v> </v>
      </c>
      <c r="L54" s="39" t="str">
        <f>IF(ISNUMBER('Ввод данных и результаты'!M10),IF($J$46="+",LN('Ввод данных и результаты'!M10-$J$45*$L$45),'Ввод данных и результаты'!M10-$J$45*$L$45)," ")</f>
        <v> </v>
      </c>
      <c r="M54" s="39" t="str">
        <f>IF(ISNUMBER('Ввод данных и результаты'!N10),IF($J$46="+",LN('Ввод данных и результаты'!N10-$J$45*$L$45),'Ввод данных и результаты'!N10-$J$45*$L$45)," ")</f>
        <v> </v>
      </c>
      <c r="N54" s="39" t="str">
        <f>IF(ISNUMBER('Ввод данных и результаты'!O10),IF($J$46="+",LN('Ввод данных и результаты'!O10-$J$45*$L$45),'Ввод данных и результаты'!O10-$J$45*$L$45)," ")</f>
        <v> </v>
      </c>
      <c r="O54" s="39" t="str">
        <f>IF(ISNUMBER('Ввод данных и результаты'!P10),IF($J$46="+",LN('Ввод данных и результаты'!P10-$J$45*$L$45),'Ввод данных и результаты'!P10-$J$45*$L$45)," ")</f>
        <v> </v>
      </c>
      <c r="P54" s="39" t="str">
        <f>IF(ISNUMBER('Ввод данных и результаты'!Q10),IF($J$46="+",LN('Ввод данных и результаты'!Q10-$J$45*$L$45),'Ввод данных и результаты'!Q10-$J$45*$L$45)," ")</f>
        <v> </v>
      </c>
      <c r="Q54" s="39" t="str">
        <f>IF(ISNUMBER('Ввод данных и результаты'!R10),IF($J$46="+",LN('Ввод данных и результаты'!R10-$J$45*$L$45),'Ввод данных и результаты'!R10-$J$45*$L$45)," ")</f>
        <v> </v>
      </c>
      <c r="R54" s="39" t="str">
        <f>IF(ISNUMBER('Ввод данных и результаты'!S10),IF($J$46="+",LN('Ввод данных и результаты'!S10-$J$45*$L$45),'Ввод данных и результаты'!S10-$J$45*$L$45)," ")</f>
        <v> </v>
      </c>
      <c r="S54" s="39" t="str">
        <f>IF(ISNUMBER('Ввод данных и результаты'!T10),IF($J$46="+",LN('Ввод данных и результаты'!T10-$J$45*$L$45),'Ввод данных и результаты'!T10-$J$45*$L$45)," ")</f>
        <v> </v>
      </c>
      <c r="X54" s="70"/>
      <c r="Y54" s="7"/>
      <c r="Z54" s="7"/>
      <c r="AA54" s="80"/>
    </row>
    <row r="55" spans="3:19" ht="13.5" thickBot="1">
      <c r="C55" s="4"/>
      <c r="G55" s="15" t="s">
        <v>12</v>
      </c>
      <c r="H55" s="39" t="str">
        <f>IF(ISNUMBER('Ввод данных и результаты'!I11),IF($J$46="+",LN('Ввод данных и результаты'!I11-$J$45*$L$45),'Ввод данных и результаты'!I11-$J$45*$L$45)," ")</f>
        <v> </v>
      </c>
      <c r="I55" s="39" t="str">
        <f>IF(ISNUMBER('Ввод данных и результаты'!J11),IF($J$46="+",LN('Ввод данных и результаты'!J11-$J$45*$L$45),'Ввод данных и результаты'!J11-$J$45*$L$45)," ")</f>
        <v> </v>
      </c>
      <c r="J55" s="39" t="str">
        <f>IF(ISNUMBER('Ввод данных и результаты'!K11),IF($J$46="+",LN('Ввод данных и результаты'!K11-$J$45*$L$45),'Ввод данных и результаты'!K11-$J$45*$L$45)," ")</f>
        <v> </v>
      </c>
      <c r="K55" s="39" t="str">
        <f>IF(ISNUMBER('Ввод данных и результаты'!L11),IF($J$46="+",LN('Ввод данных и результаты'!L11-$J$45*$L$45),'Ввод данных и результаты'!L11-$J$45*$L$45)," ")</f>
        <v> </v>
      </c>
      <c r="L55" s="39" t="str">
        <f>IF(ISNUMBER('Ввод данных и результаты'!M11),IF($J$46="+",LN('Ввод данных и результаты'!M11-$J$45*$L$45),'Ввод данных и результаты'!M11-$J$45*$L$45)," ")</f>
        <v> </v>
      </c>
      <c r="M55" s="39" t="str">
        <f>IF(ISNUMBER('Ввод данных и результаты'!N11),IF($J$46="+",LN('Ввод данных и результаты'!N11-$J$45*$L$45),'Ввод данных и результаты'!N11-$J$45*$L$45)," ")</f>
        <v> </v>
      </c>
      <c r="N55" s="39" t="str">
        <f>IF(ISNUMBER('Ввод данных и результаты'!O11),IF($J$46="+",LN('Ввод данных и результаты'!O11-$J$45*$L$45),'Ввод данных и результаты'!O11-$J$45*$L$45)," ")</f>
        <v> </v>
      </c>
      <c r="O55" s="39" t="str">
        <f>IF(ISNUMBER('Ввод данных и результаты'!P11),IF($J$46="+",LN('Ввод данных и результаты'!P11-$J$45*$L$45),'Ввод данных и результаты'!P11-$J$45*$L$45)," ")</f>
        <v> </v>
      </c>
      <c r="P55" s="39" t="str">
        <f>IF(ISNUMBER('Ввод данных и результаты'!Q11),IF($J$46="+",LN('Ввод данных и результаты'!Q11-$J$45*$L$45),'Ввод данных и результаты'!Q11-$J$45*$L$45)," ")</f>
        <v> </v>
      </c>
      <c r="Q55" s="39" t="str">
        <f>IF(ISNUMBER('Ввод данных и результаты'!R11),IF($J$46="+",LN('Ввод данных и результаты'!R11-$J$45*$L$45),'Ввод данных и результаты'!R11-$J$45*$L$45)," ")</f>
        <v> </v>
      </c>
      <c r="R55" s="39" t="str">
        <f>IF(ISNUMBER('Ввод данных и результаты'!S11),IF($J$46="+",LN('Ввод данных и результаты'!S11-$J$45*$L$45),'Ввод данных и результаты'!S11-$J$45*$L$45)," ")</f>
        <v> </v>
      </c>
      <c r="S55" s="39" t="str">
        <f>IF(ISNUMBER('Ввод данных и результаты'!T11),IF($J$46="+",LN('Ввод данных и результаты'!T11-$J$45*$L$45),'Ввод данных и результаты'!T11-$J$45*$L$45)," ")</f>
        <v> </v>
      </c>
    </row>
    <row r="56" spans="7:19" ht="13.5" thickBot="1">
      <c r="G56" s="15" t="s">
        <v>13</v>
      </c>
      <c r="H56" s="39" t="str">
        <f>IF(ISNUMBER('Ввод данных и результаты'!I12),IF($J$46="+",LN('Ввод данных и результаты'!I12-$J$45*$L$45),'Ввод данных и результаты'!I12-$J$45*$L$45)," ")</f>
        <v> </v>
      </c>
      <c r="I56" s="39" t="str">
        <f>IF(ISNUMBER('Ввод данных и результаты'!J12),IF($J$46="+",LN('Ввод данных и результаты'!J12-$J$45*$L$45),'Ввод данных и результаты'!J12-$J$45*$L$45)," ")</f>
        <v> </v>
      </c>
      <c r="J56" s="39" t="str">
        <f>IF(ISNUMBER('Ввод данных и результаты'!K12),IF($J$46="+",LN('Ввод данных и результаты'!K12-$J$45*$L$45),'Ввод данных и результаты'!K12-$J$45*$L$45)," ")</f>
        <v> </v>
      </c>
      <c r="K56" s="39" t="str">
        <f>IF(ISNUMBER('Ввод данных и результаты'!L12),IF($J$46="+",LN('Ввод данных и результаты'!L12-$J$45*$L$45),'Ввод данных и результаты'!L12-$J$45*$L$45)," ")</f>
        <v> </v>
      </c>
      <c r="L56" s="39" t="str">
        <f>IF(ISNUMBER('Ввод данных и результаты'!M12),IF($J$46="+",LN('Ввод данных и результаты'!M12-$J$45*$L$45),'Ввод данных и результаты'!M12-$J$45*$L$45)," ")</f>
        <v> </v>
      </c>
      <c r="M56" s="39" t="str">
        <f>IF(ISNUMBER('Ввод данных и результаты'!N12),IF($J$46="+",LN('Ввод данных и результаты'!N12-$J$45*$L$45),'Ввод данных и результаты'!N12-$J$45*$L$45)," ")</f>
        <v> </v>
      </c>
      <c r="N56" s="39" t="str">
        <f>IF(ISNUMBER('Ввод данных и результаты'!O12),IF($J$46="+",LN('Ввод данных и результаты'!O12-$J$45*$L$45),'Ввод данных и результаты'!O12-$J$45*$L$45)," ")</f>
        <v> </v>
      </c>
      <c r="O56" s="39" t="str">
        <f>IF(ISNUMBER('Ввод данных и результаты'!P12),IF($J$46="+",LN('Ввод данных и результаты'!P12-$J$45*$L$45),'Ввод данных и результаты'!P12-$J$45*$L$45)," ")</f>
        <v> </v>
      </c>
      <c r="P56" s="39" t="str">
        <f>IF(ISNUMBER('Ввод данных и результаты'!Q12),IF($J$46="+",LN('Ввод данных и результаты'!Q12-$J$45*$L$45),'Ввод данных и результаты'!Q12-$J$45*$L$45)," ")</f>
        <v> </v>
      </c>
      <c r="Q56" s="39" t="str">
        <f>IF(ISNUMBER('Ввод данных и результаты'!R12),IF($J$46="+",LN('Ввод данных и результаты'!R12-$J$45*$L$45),'Ввод данных и результаты'!R12-$J$45*$L$45)," ")</f>
        <v> </v>
      </c>
      <c r="R56" s="39" t="str">
        <f>IF(ISNUMBER('Ввод данных и результаты'!S12),IF($J$46="+",LN('Ввод данных и результаты'!S12-$J$45*$L$45),'Ввод данных и результаты'!S12-$J$45*$L$45)," ")</f>
        <v> </v>
      </c>
      <c r="S56" s="39" t="str">
        <f>IF(ISNUMBER('Ввод данных и результаты'!T12),IF($J$46="+",LN('Ввод данных и результаты'!T12-$J$45*$L$45),'Ввод данных и результаты'!T12-$J$45*$L$45)," ")</f>
        <v> </v>
      </c>
    </row>
    <row r="57" spans="7:19" ht="13.5" thickBot="1">
      <c r="G57" s="15" t="s">
        <v>14</v>
      </c>
      <c r="H57" s="39" t="str">
        <f>IF(ISNUMBER('Ввод данных и результаты'!I13),IF($J$46="+",LN('Ввод данных и результаты'!I13-$J$45*$L$45),'Ввод данных и результаты'!I13-$J$45*$L$45)," ")</f>
        <v> </v>
      </c>
      <c r="I57" s="39" t="str">
        <f>IF(ISNUMBER('Ввод данных и результаты'!J13),IF($J$46="+",LN('Ввод данных и результаты'!J13-$J$45*$L$45),'Ввод данных и результаты'!J13-$J$45*$L$45)," ")</f>
        <v> </v>
      </c>
      <c r="J57" s="39" t="str">
        <f>IF(ISNUMBER('Ввод данных и результаты'!K13),IF($J$46="+",LN('Ввод данных и результаты'!K13-$J$45*$L$45),'Ввод данных и результаты'!K13-$J$45*$L$45)," ")</f>
        <v> </v>
      </c>
      <c r="K57" s="39" t="str">
        <f>IF(ISNUMBER('Ввод данных и результаты'!L13),IF($J$46="+",LN('Ввод данных и результаты'!L13-$J$45*$L$45),'Ввод данных и результаты'!L13-$J$45*$L$45)," ")</f>
        <v> </v>
      </c>
      <c r="L57" s="39" t="str">
        <f>IF(ISNUMBER('Ввод данных и результаты'!M13),IF($J$46="+",LN('Ввод данных и результаты'!M13-$J$45*$L$45),'Ввод данных и результаты'!M13-$J$45*$L$45)," ")</f>
        <v> </v>
      </c>
      <c r="M57" s="39" t="str">
        <f>IF(ISNUMBER('Ввод данных и результаты'!N13),IF($J$46="+",LN('Ввод данных и результаты'!N13-$J$45*$L$45),'Ввод данных и результаты'!N13-$J$45*$L$45)," ")</f>
        <v> </v>
      </c>
      <c r="N57" s="39" t="str">
        <f>IF(ISNUMBER('Ввод данных и результаты'!O13),IF($J$46="+",LN('Ввод данных и результаты'!O13-$J$45*$L$45),'Ввод данных и результаты'!O13-$J$45*$L$45)," ")</f>
        <v> </v>
      </c>
      <c r="O57" s="39" t="str">
        <f>IF(ISNUMBER('Ввод данных и результаты'!P13),IF($J$46="+",LN('Ввод данных и результаты'!P13-$J$45*$L$45),'Ввод данных и результаты'!P13-$J$45*$L$45)," ")</f>
        <v> </v>
      </c>
      <c r="P57" s="39" t="str">
        <f>IF(ISNUMBER('Ввод данных и результаты'!Q13),IF($J$46="+",LN('Ввод данных и результаты'!Q13-$J$45*$L$45),'Ввод данных и результаты'!Q13-$J$45*$L$45)," ")</f>
        <v> </v>
      </c>
      <c r="Q57" s="39" t="str">
        <f>IF(ISNUMBER('Ввод данных и результаты'!R13),IF($J$46="+",LN('Ввод данных и результаты'!R13-$J$45*$L$45),'Ввод данных и результаты'!R13-$J$45*$L$45)," ")</f>
        <v> </v>
      </c>
      <c r="R57" s="39" t="str">
        <f>IF(ISNUMBER('Ввод данных и результаты'!S13),IF($J$46="+",LN('Ввод данных и результаты'!S13-$J$45*$L$45),'Ввод данных и результаты'!S13-$J$45*$L$45)," ")</f>
        <v> </v>
      </c>
      <c r="S57" s="39" t="str">
        <f>IF(ISNUMBER('Ввод данных и результаты'!T13),IF($J$46="+",LN('Ввод данных и результаты'!T13-$J$45*$L$45),'Ввод данных и результаты'!T13-$J$45*$L$45)," ")</f>
        <v> </v>
      </c>
    </row>
    <row r="58" spans="7:19" ht="13.5" thickBot="1">
      <c r="G58" s="15" t="s">
        <v>15</v>
      </c>
      <c r="H58" s="39" t="str">
        <f>IF(ISNUMBER('Ввод данных и результаты'!I14),IF($J$46="+",LN('Ввод данных и результаты'!I14-$J$45*$L$45),'Ввод данных и результаты'!I14-$J$45*$L$45)," ")</f>
        <v> </v>
      </c>
      <c r="I58" s="39" t="str">
        <f>IF(ISNUMBER('Ввод данных и результаты'!J14),IF($J$46="+",LN('Ввод данных и результаты'!J14-$J$45*$L$45),'Ввод данных и результаты'!J14-$J$45*$L$45)," ")</f>
        <v> </v>
      </c>
      <c r="J58" s="39" t="str">
        <f>IF(ISNUMBER('Ввод данных и результаты'!K14),IF($J$46="+",LN('Ввод данных и результаты'!K14-$J$45*$L$45),'Ввод данных и результаты'!K14-$J$45*$L$45)," ")</f>
        <v> </v>
      </c>
      <c r="K58" s="39" t="str">
        <f>IF(ISNUMBER('Ввод данных и результаты'!L14),IF($J$46="+",LN('Ввод данных и результаты'!L14-$J$45*$L$45),'Ввод данных и результаты'!L14-$J$45*$L$45)," ")</f>
        <v> </v>
      </c>
      <c r="L58" s="39" t="str">
        <f>IF(ISNUMBER('Ввод данных и результаты'!M14),IF($J$46="+",LN('Ввод данных и результаты'!M14-$J$45*$L$45),'Ввод данных и результаты'!M14-$J$45*$L$45)," ")</f>
        <v> </v>
      </c>
      <c r="M58" s="39" t="str">
        <f>IF(ISNUMBER('Ввод данных и результаты'!N14),IF($J$46="+",LN('Ввод данных и результаты'!N14-$J$45*$L$45),'Ввод данных и результаты'!N14-$J$45*$L$45)," ")</f>
        <v> </v>
      </c>
      <c r="N58" s="39" t="str">
        <f>IF(ISNUMBER('Ввод данных и результаты'!O14),IF($J$46="+",LN('Ввод данных и результаты'!O14-$J$45*$L$45),'Ввод данных и результаты'!O14-$J$45*$L$45)," ")</f>
        <v> </v>
      </c>
      <c r="O58" s="39" t="str">
        <f>IF(ISNUMBER('Ввод данных и результаты'!P14),IF($J$46="+",LN('Ввод данных и результаты'!P14-$J$45*$L$45),'Ввод данных и результаты'!P14-$J$45*$L$45)," ")</f>
        <v> </v>
      </c>
      <c r="P58" s="39" t="str">
        <f>IF(ISNUMBER('Ввод данных и результаты'!Q14),IF($J$46="+",LN('Ввод данных и результаты'!Q14-$J$45*$L$45),'Ввод данных и результаты'!Q14-$J$45*$L$45)," ")</f>
        <v> </v>
      </c>
      <c r="Q58" s="39" t="str">
        <f>IF(ISNUMBER('Ввод данных и результаты'!R14),IF($J$46="+",LN('Ввод данных и результаты'!R14-$J$45*$L$45),'Ввод данных и результаты'!R14-$J$45*$L$45)," ")</f>
        <v> </v>
      </c>
      <c r="R58" s="39" t="str">
        <f>IF(ISNUMBER('Ввод данных и результаты'!S14),IF($J$46="+",LN('Ввод данных и результаты'!S14-$J$45*$L$45),'Ввод данных и результаты'!S14-$J$45*$L$45)," ")</f>
        <v> </v>
      </c>
      <c r="S58" s="39" t="str">
        <f>IF(ISNUMBER('Ввод данных и результаты'!T14),IF($J$46="+",LN('Ввод данных и результаты'!T14-$J$45*$L$45),'Ввод данных и результаты'!T14-$J$45*$L$45)," ")</f>
        <v> </v>
      </c>
    </row>
    <row r="59" spans="7:19" ht="12.75">
      <c r="G59" s="66"/>
      <c r="H59" s="7" t="e">
        <f aca="true" t="shared" si="5" ref="H59:H66">AVERAGE(H51:I51)</f>
        <v>#DIV/0!</v>
      </c>
      <c r="I59" s="7"/>
      <c r="J59" s="7" t="e">
        <f aca="true" t="shared" si="6" ref="J59:J66">AVERAGE(J51:K51)</f>
        <v>#DIV/0!</v>
      </c>
      <c r="K59" s="7"/>
      <c r="L59" s="7" t="e">
        <f aca="true" t="shared" si="7" ref="L59:L66">AVERAGE(L51:M51)</f>
        <v>#DIV/0!</v>
      </c>
      <c r="M59" s="7"/>
      <c r="N59" s="7" t="e">
        <f aca="true" t="shared" si="8" ref="N59:N66">AVERAGE(N51:O51)</f>
        <v>#DIV/0!</v>
      </c>
      <c r="O59" s="7"/>
      <c r="P59" s="7" t="e">
        <f aca="true" t="shared" si="9" ref="P59:P66">AVERAGE(P51:Q51)</f>
        <v>#DIV/0!</v>
      </c>
      <c r="Q59" s="7"/>
      <c r="R59" s="7" t="e">
        <f aca="true" t="shared" si="10" ref="R59:R66">AVERAGE(R51:S51)</f>
        <v>#DIV/0!</v>
      </c>
      <c r="S59" s="7"/>
    </row>
    <row r="60" spans="7:19" ht="12.75">
      <c r="G60" s="67"/>
      <c r="H60" s="7" t="e">
        <f t="shared" si="5"/>
        <v>#DIV/0!</v>
      </c>
      <c r="I60" s="67"/>
      <c r="J60" s="7" t="e">
        <f t="shared" si="6"/>
        <v>#DIV/0!</v>
      </c>
      <c r="K60" s="67"/>
      <c r="L60" s="7" t="e">
        <f t="shared" si="7"/>
        <v>#DIV/0!</v>
      </c>
      <c r="M60" s="67"/>
      <c r="N60" s="7" t="e">
        <f t="shared" si="8"/>
        <v>#DIV/0!</v>
      </c>
      <c r="O60" s="67"/>
      <c r="P60" s="7" t="e">
        <f t="shared" si="9"/>
        <v>#DIV/0!</v>
      </c>
      <c r="Q60" s="67"/>
      <c r="R60" s="7" t="e">
        <f t="shared" si="10"/>
        <v>#DIV/0!</v>
      </c>
      <c r="S60" s="67"/>
    </row>
    <row r="61" spans="7:19" ht="12.75">
      <c r="G61" s="7"/>
      <c r="H61" s="7" t="e">
        <f t="shared" si="5"/>
        <v>#DIV/0!</v>
      </c>
      <c r="I61" s="7"/>
      <c r="J61" s="7" t="e">
        <f t="shared" si="6"/>
        <v>#DIV/0!</v>
      </c>
      <c r="K61" s="7"/>
      <c r="L61" s="7" t="e">
        <f t="shared" si="7"/>
        <v>#DIV/0!</v>
      </c>
      <c r="M61" s="7"/>
      <c r="N61" s="7" t="e">
        <f t="shared" si="8"/>
        <v>#DIV/0!</v>
      </c>
      <c r="O61" s="7"/>
      <c r="P61" s="7" t="e">
        <f t="shared" si="9"/>
        <v>#DIV/0!</v>
      </c>
      <c r="Q61" s="7"/>
      <c r="R61" s="7" t="e">
        <f t="shared" si="10"/>
        <v>#DIV/0!</v>
      </c>
      <c r="S61" s="7"/>
    </row>
    <row r="62" spans="7:19" ht="12.75">
      <c r="G62" s="7"/>
      <c r="H62" s="7" t="e">
        <f t="shared" si="5"/>
        <v>#DIV/0!</v>
      </c>
      <c r="I62" s="7"/>
      <c r="J62" s="7" t="e">
        <f t="shared" si="6"/>
        <v>#DIV/0!</v>
      </c>
      <c r="K62" s="7"/>
      <c r="L62" s="7" t="e">
        <f t="shared" si="7"/>
        <v>#DIV/0!</v>
      </c>
      <c r="M62" s="7"/>
      <c r="N62" s="7" t="e">
        <f t="shared" si="8"/>
        <v>#DIV/0!</v>
      </c>
      <c r="O62" s="7"/>
      <c r="P62" s="7" t="e">
        <f>AVERAGE(P54:Q54)</f>
        <v>#DIV/0!</v>
      </c>
      <c r="Q62" s="7"/>
      <c r="R62" s="7" t="e">
        <f t="shared" si="10"/>
        <v>#DIV/0!</v>
      </c>
      <c r="S62" s="7"/>
    </row>
    <row r="63" spans="7:19" ht="12.75">
      <c r="G63" s="7"/>
      <c r="H63" s="7" t="e">
        <f t="shared" si="5"/>
        <v>#DIV/0!</v>
      </c>
      <c r="I63" s="7"/>
      <c r="J63" s="7" t="e">
        <f t="shared" si="6"/>
        <v>#DIV/0!</v>
      </c>
      <c r="K63" s="7"/>
      <c r="L63" s="7" t="e">
        <f t="shared" si="7"/>
        <v>#DIV/0!</v>
      </c>
      <c r="M63" s="7"/>
      <c r="N63" s="7" t="e">
        <f t="shared" si="8"/>
        <v>#DIV/0!</v>
      </c>
      <c r="O63" s="7"/>
      <c r="P63" s="7" t="e">
        <f t="shared" si="9"/>
        <v>#DIV/0!</v>
      </c>
      <c r="Q63" s="7"/>
      <c r="R63" s="7" t="e">
        <f t="shared" si="10"/>
        <v>#DIV/0!</v>
      </c>
      <c r="S63" s="7"/>
    </row>
    <row r="64" spans="7:19" ht="12.75">
      <c r="G64" s="7"/>
      <c r="H64" s="7" t="e">
        <f t="shared" si="5"/>
        <v>#DIV/0!</v>
      </c>
      <c r="I64" s="7"/>
      <c r="J64" s="7" t="e">
        <f t="shared" si="6"/>
        <v>#DIV/0!</v>
      </c>
      <c r="K64" s="7"/>
      <c r="L64" s="7" t="e">
        <f t="shared" si="7"/>
        <v>#DIV/0!</v>
      </c>
      <c r="M64" s="7"/>
      <c r="N64" s="7" t="e">
        <f t="shared" si="8"/>
        <v>#DIV/0!</v>
      </c>
      <c r="O64" s="7"/>
      <c r="P64" s="7" t="e">
        <f t="shared" si="9"/>
        <v>#DIV/0!</v>
      </c>
      <c r="Q64" s="7"/>
      <c r="R64" s="7" t="e">
        <f t="shared" si="10"/>
        <v>#DIV/0!</v>
      </c>
      <c r="S64" s="7"/>
    </row>
    <row r="65" spans="8:18" ht="12.75">
      <c r="H65" s="7" t="e">
        <f t="shared" si="5"/>
        <v>#DIV/0!</v>
      </c>
      <c r="J65" s="7" t="e">
        <f t="shared" si="6"/>
        <v>#DIV/0!</v>
      </c>
      <c r="L65" s="7" t="e">
        <f t="shared" si="7"/>
        <v>#DIV/0!</v>
      </c>
      <c r="N65" s="7" t="e">
        <f t="shared" si="8"/>
        <v>#DIV/0!</v>
      </c>
      <c r="P65" s="7" t="e">
        <f t="shared" si="9"/>
        <v>#DIV/0!</v>
      </c>
      <c r="R65" s="7" t="e">
        <f t="shared" si="10"/>
        <v>#DIV/0!</v>
      </c>
    </row>
    <row r="66" spans="8:18" ht="12.75">
      <c r="H66" s="7" t="e">
        <f t="shared" si="5"/>
        <v>#DIV/0!</v>
      </c>
      <c r="J66" s="7" t="e">
        <f t="shared" si="6"/>
        <v>#DIV/0!</v>
      </c>
      <c r="L66" s="7" t="e">
        <f t="shared" si="7"/>
        <v>#DIV/0!</v>
      </c>
      <c r="N66" s="7" t="e">
        <f t="shared" si="8"/>
        <v>#DIV/0!</v>
      </c>
      <c r="P66" s="7" t="e">
        <f t="shared" si="9"/>
        <v>#DIV/0!</v>
      </c>
      <c r="R66" s="7" t="e">
        <f t="shared" si="10"/>
        <v>#DIV/0!</v>
      </c>
    </row>
    <row r="70" spans="7:33" ht="13.5" thickBot="1">
      <c r="G70" s="40"/>
      <c r="H70" s="41">
        <v>1</v>
      </c>
      <c r="I70" s="41">
        <v>2</v>
      </c>
      <c r="J70" s="41">
        <v>3</v>
      </c>
      <c r="K70" s="41">
        <v>4</v>
      </c>
      <c r="L70" s="41">
        <v>5</v>
      </c>
      <c r="M70" s="41">
        <v>6</v>
      </c>
      <c r="N70" s="41">
        <v>7</v>
      </c>
      <c r="O70" s="41">
        <v>8</v>
      </c>
      <c r="P70" s="41">
        <v>9</v>
      </c>
      <c r="Q70" s="41">
        <v>10</v>
      </c>
      <c r="R70" s="41">
        <v>11</v>
      </c>
      <c r="S70" s="41">
        <v>12</v>
      </c>
      <c r="U70" s="40"/>
      <c r="V70" s="41">
        <v>1</v>
      </c>
      <c r="W70" s="41">
        <v>2</v>
      </c>
      <c r="X70" s="41">
        <v>3</v>
      </c>
      <c r="Y70" s="41">
        <v>4</v>
      </c>
      <c r="Z70" s="41">
        <v>5</v>
      </c>
      <c r="AA70" s="41">
        <v>6</v>
      </c>
      <c r="AB70" s="41">
        <v>7</v>
      </c>
      <c r="AC70" s="41">
        <v>8</v>
      </c>
      <c r="AD70" s="41">
        <v>9</v>
      </c>
      <c r="AE70" s="41">
        <v>10</v>
      </c>
      <c r="AF70" s="41">
        <v>11</v>
      </c>
      <c r="AG70" s="41">
        <v>12</v>
      </c>
    </row>
    <row r="71" spans="7:33" ht="13.5" thickBot="1">
      <c r="G71" s="9" t="s">
        <v>8</v>
      </c>
      <c r="H71" s="27" t="e">
        <f>Рабочий!$G$8*POWER((H59),5)+Рабочий!$G$9*POWER((H59),4)+Рабочий!$G$10*POWER((H59),3)+Рабочий!$G$11*POWER((H59),2)+Рабочий!$G$12*(H59)+Рабочий!$G$13</f>
        <v>#DIV/0!</v>
      </c>
      <c r="I71" s="27"/>
      <c r="J71" s="27" t="e">
        <f>Рабочий!$G$8*POWER((J59),5)+Рабочий!$G$9*POWER((J59),4)+Рабочий!$G$10*POWER((J59),3)+Рабочий!$G$11*POWER((J59),2)+Рабочий!$G$12*(J59)+Рабочий!$G$13</f>
        <v>#DIV/0!</v>
      </c>
      <c r="K71" s="27"/>
      <c r="L71" s="27" t="e">
        <f>Рабочий!$G$8*POWER((L59),5)+Рабочий!$G$9*POWER((L59),4)+Рабочий!$G$10*POWER((L59),3)+Рабочий!$G$11*POWER((L59),2)+Рабочий!$G$12*(L59)+Рабочий!$G$13</f>
        <v>#DIV/0!</v>
      </c>
      <c r="M71" s="27"/>
      <c r="N71" s="27" t="e">
        <f>Рабочий!$G$8*POWER((N59),5)+Рабочий!$G$9*POWER((N59),4)+Рабочий!$G$10*POWER((N59),3)+Рабочий!$G$11*POWER((N59),2)+Рабочий!$G$12*(N59)+Рабочий!$G$13</f>
        <v>#DIV/0!</v>
      </c>
      <c r="O71" s="27"/>
      <c r="P71" s="27" t="e">
        <f>Рабочий!$G$8*POWER((P59),5)+Рабочий!$G$9*POWER((P59),4)+Рабочий!$G$10*POWER((P59),3)+Рабочий!$G$11*POWER((P59),2)+Рабочий!$G$12*(P59)+Рабочий!$G$13</f>
        <v>#DIV/0!</v>
      </c>
      <c r="Q71" s="27"/>
      <c r="R71" s="27" t="e">
        <f>Рабочий!$G$8*POWER((R59),5)+Рабочий!$G$9*POWER((R59),4)+Рабочий!$G$10*POWER((R59),3)+Рабочий!$G$11*POWER((R59),2)+Рабочий!$G$12*(R59)+Рабочий!$G$13</f>
        <v>#DIV/0!</v>
      </c>
      <c r="S71" s="27"/>
      <c r="U71" s="9" t="s">
        <v>8</v>
      </c>
      <c r="V71" s="39" t="str">
        <f aca="true" t="shared" si="11" ref="V71:V78">IF(ISNUMBER(H84),IF(H84&lt;0,0,H84)," ")</f>
        <v> </v>
      </c>
      <c r="W71" s="39"/>
      <c r="X71" s="39" t="str">
        <f aca="true" t="shared" si="12" ref="X71:X78">IF(ISNUMBER(J84),IF(J84&lt;0,0,J84)," ")</f>
        <v> </v>
      </c>
      <c r="Y71" s="39"/>
      <c r="Z71" s="39" t="str">
        <f aca="true" t="shared" si="13" ref="Z71:Z78">IF(ISNUMBER(L84),IF(L84&lt;0,0,L84)," ")</f>
        <v> </v>
      </c>
      <c r="AA71" s="39"/>
      <c r="AB71" s="39" t="str">
        <f aca="true" t="shared" si="14" ref="AB71:AB78">IF(ISNUMBER(N84),IF(N84&lt;0,0,N84)," ")</f>
        <v> </v>
      </c>
      <c r="AC71" s="39"/>
      <c r="AD71" s="39" t="str">
        <f aca="true" t="shared" si="15" ref="AD71:AD78">IF(ISNUMBER(P84),IF(P84&lt;0,0,P84)," ")</f>
        <v> </v>
      </c>
      <c r="AE71" s="39"/>
      <c r="AF71" s="39" t="str">
        <f aca="true" t="shared" si="16" ref="AF71:AF78">IF(ISNUMBER(R84),IF(R84&lt;0,0,R84)," ")</f>
        <v> </v>
      </c>
      <c r="AG71" s="39"/>
    </row>
    <row r="72" spans="7:33" ht="13.5" thickBot="1">
      <c r="G72" s="9" t="s">
        <v>9</v>
      </c>
      <c r="H72" s="27" t="e">
        <f>Рабочий!$G$8*POWER((H60),5)+Рабочий!$G$9*POWER((H60),4)+Рабочий!$G$10*POWER((H60),3)+Рабочий!$G$11*POWER((H60),2)+Рабочий!$G$12*(H60)+Рабочий!$G$13</f>
        <v>#DIV/0!</v>
      </c>
      <c r="I72" s="27"/>
      <c r="J72" s="27" t="e">
        <f>Рабочий!$G$8*POWER((J60),5)+Рабочий!$G$9*POWER((J60),4)+Рабочий!$G$10*POWER((J60),3)+Рабочий!$G$11*POWER((J60),2)+Рабочий!$G$12*(J60)+Рабочий!$G$13</f>
        <v>#DIV/0!</v>
      </c>
      <c r="K72" s="27"/>
      <c r="L72" s="27" t="e">
        <f>Рабочий!$G$8*POWER((L60),5)+Рабочий!$G$9*POWER((L60),4)+Рабочий!$G$10*POWER((L60),3)+Рабочий!$G$11*POWER((L60),2)+Рабочий!$G$12*(L60)+Рабочий!$G$13</f>
        <v>#DIV/0!</v>
      </c>
      <c r="M72" s="27"/>
      <c r="N72" s="27" t="e">
        <f>Рабочий!$G$8*POWER((N60),5)+Рабочий!$G$9*POWER((N60),4)+Рабочий!$G$10*POWER((N60),3)+Рабочий!$G$11*POWER((N60),2)+Рабочий!$G$12*(N60)+Рабочий!$G$13</f>
        <v>#DIV/0!</v>
      </c>
      <c r="O72" s="27"/>
      <c r="P72" s="27" t="e">
        <f>Рабочий!$G$8*POWER((P60),5)+Рабочий!$G$9*POWER((P60),4)+Рабочий!$G$10*POWER((P60),3)+Рабочий!$G$11*POWER((P60),2)+Рабочий!$G$12*(P60)+Рабочий!$G$13</f>
        <v>#DIV/0!</v>
      </c>
      <c r="Q72" s="27"/>
      <c r="R72" s="27" t="e">
        <f>Рабочий!$G$8*POWER((R60),5)+Рабочий!$G$9*POWER((R60),4)+Рабочий!$G$10*POWER((R60),3)+Рабочий!$G$11*POWER((R60),2)+Рабочий!$G$12*(R60)+Рабочий!$G$13</f>
        <v>#DIV/0!</v>
      </c>
      <c r="S72" s="27"/>
      <c r="U72" s="9" t="s">
        <v>9</v>
      </c>
      <c r="V72" s="39" t="str">
        <f t="shared" si="11"/>
        <v> </v>
      </c>
      <c r="W72" s="39"/>
      <c r="X72" s="39" t="str">
        <f t="shared" si="12"/>
        <v> </v>
      </c>
      <c r="Y72" s="39"/>
      <c r="Z72" s="39" t="str">
        <f t="shared" si="13"/>
        <v> </v>
      </c>
      <c r="AA72" s="39"/>
      <c r="AB72" s="39" t="str">
        <f t="shared" si="14"/>
        <v> </v>
      </c>
      <c r="AC72" s="39"/>
      <c r="AD72" s="39" t="str">
        <f t="shared" si="15"/>
        <v> </v>
      </c>
      <c r="AE72" s="39"/>
      <c r="AF72" s="39" t="str">
        <f t="shared" si="16"/>
        <v> </v>
      </c>
      <c r="AG72" s="39"/>
    </row>
    <row r="73" spans="7:33" ht="13.5" thickBot="1">
      <c r="G73" s="9" t="s">
        <v>10</v>
      </c>
      <c r="H73" s="27" t="e">
        <f>Рабочий!$G$8*POWER((H61),5)+Рабочий!$G$9*POWER((H61),4)+Рабочий!$G$10*POWER((H61),3)+Рабочий!$G$11*POWER((H61),2)+Рабочий!$G$12*(H61)+Рабочий!$G$13</f>
        <v>#DIV/0!</v>
      </c>
      <c r="I73" s="27"/>
      <c r="J73" s="27" t="e">
        <f>Рабочий!$G$8*POWER((J61),5)+Рабочий!$G$9*POWER((J61),4)+Рабочий!$G$10*POWER((J61),3)+Рабочий!$G$11*POWER((J61),2)+Рабочий!$G$12*(J61)+Рабочий!$G$13</f>
        <v>#DIV/0!</v>
      </c>
      <c r="K73" s="27"/>
      <c r="L73" s="27" t="e">
        <f>Рабочий!$G$8*POWER((L61),5)+Рабочий!$G$9*POWER((L61),4)+Рабочий!$G$10*POWER((L61),3)+Рабочий!$G$11*POWER((L61),2)+Рабочий!$G$12*(L61)+Рабочий!$G$13</f>
        <v>#DIV/0!</v>
      </c>
      <c r="M73" s="27"/>
      <c r="N73" s="27" t="e">
        <f>Рабочий!$G$8*POWER((N61),5)+Рабочий!$G$9*POWER((N61),4)+Рабочий!$G$10*POWER((N61),3)+Рабочий!$G$11*POWER((N61),2)+Рабочий!$G$12*(N61)+Рабочий!$G$13</f>
        <v>#DIV/0!</v>
      </c>
      <c r="O73" s="27"/>
      <c r="P73" s="27" t="e">
        <f>Рабочий!$G$8*POWER((P61),5)+Рабочий!$G$9*POWER((P61),4)+Рабочий!$G$10*POWER((P61),3)+Рабочий!$G$11*POWER((P61),2)+Рабочий!$G$12*(P61)+Рабочий!$G$13</f>
        <v>#DIV/0!</v>
      </c>
      <c r="Q73" s="27"/>
      <c r="R73" s="27" t="e">
        <f>Рабочий!$G$8*POWER((R61),5)+Рабочий!$G$9*POWER((R61),4)+Рабочий!$G$10*POWER((R61),3)+Рабочий!$G$11*POWER((R61),2)+Рабочий!$G$12*(R61)+Рабочий!$G$13</f>
        <v>#DIV/0!</v>
      </c>
      <c r="S73" s="27"/>
      <c r="U73" s="9" t="s">
        <v>10</v>
      </c>
      <c r="V73" s="39" t="str">
        <f t="shared" si="11"/>
        <v> </v>
      </c>
      <c r="W73" s="39"/>
      <c r="X73" s="39" t="str">
        <f t="shared" si="12"/>
        <v> </v>
      </c>
      <c r="Y73" s="39"/>
      <c r="Z73" s="39" t="str">
        <f t="shared" si="13"/>
        <v> </v>
      </c>
      <c r="AA73" s="39"/>
      <c r="AB73" s="39" t="str">
        <f t="shared" si="14"/>
        <v> </v>
      </c>
      <c r="AC73" s="39"/>
      <c r="AD73" s="39" t="str">
        <f t="shared" si="15"/>
        <v> </v>
      </c>
      <c r="AE73" s="39"/>
      <c r="AF73" s="39" t="str">
        <f t="shared" si="16"/>
        <v> </v>
      </c>
      <c r="AG73" s="39"/>
    </row>
    <row r="74" spans="7:33" ht="13.5" thickBot="1">
      <c r="G74" s="9" t="s">
        <v>11</v>
      </c>
      <c r="H74" s="27" t="e">
        <f>Рабочий!$G$8*POWER((H62),5)+Рабочий!$G$9*POWER((H62),4)+Рабочий!$G$10*POWER((H62),3)+Рабочий!$G$11*POWER((H62),2)+Рабочий!$G$12*(H62)+Рабочий!$G$13</f>
        <v>#DIV/0!</v>
      </c>
      <c r="I74" s="27"/>
      <c r="J74" s="27" t="e">
        <f>Рабочий!$G$8*POWER((J62),5)+Рабочий!$G$9*POWER((J62),4)+Рабочий!$G$10*POWER((J62),3)+Рабочий!$G$11*POWER((J62),2)+Рабочий!$G$12*(J62)+Рабочий!$G$13</f>
        <v>#DIV/0!</v>
      </c>
      <c r="K74" s="27"/>
      <c r="L74" s="27" t="e">
        <f>Рабочий!$G$8*POWER((L62),5)+Рабочий!$G$9*POWER((L62),4)+Рабочий!$G$10*POWER((L62),3)+Рабочий!$G$11*POWER((L62),2)+Рабочий!$G$12*(L62)+Рабочий!$G$13</f>
        <v>#DIV/0!</v>
      </c>
      <c r="M74" s="27"/>
      <c r="N74" s="27" t="e">
        <f>Рабочий!$G$8*POWER((N62),5)+Рабочий!$G$9*POWER((N62),4)+Рабочий!$G$10*POWER((N62),3)+Рабочий!$G$11*POWER((N62),2)+Рабочий!$G$12*(N62)+Рабочий!$G$13</f>
        <v>#DIV/0!</v>
      </c>
      <c r="O74" s="27"/>
      <c r="P74" s="27" t="e">
        <f>Рабочий!$G$8*POWER((P62),5)+Рабочий!$G$9*POWER((P62),4)+Рабочий!$G$10*POWER((P62),3)+Рабочий!$G$11*POWER((P62),2)+Рабочий!$G$12*(P62)+Рабочий!$G$13</f>
        <v>#DIV/0!</v>
      </c>
      <c r="Q74" s="27"/>
      <c r="R74" s="27" t="e">
        <f>Рабочий!$G$8*POWER((R62),5)+Рабочий!$G$9*POWER((R62),4)+Рабочий!$G$10*POWER((R62),3)+Рабочий!$G$11*POWER((R62),2)+Рабочий!$G$12*(R62)+Рабочий!$G$13</f>
        <v>#DIV/0!</v>
      </c>
      <c r="S74" s="27"/>
      <c r="U74" s="9" t="s">
        <v>11</v>
      </c>
      <c r="V74" s="39" t="str">
        <f t="shared" si="11"/>
        <v> </v>
      </c>
      <c r="W74" s="39"/>
      <c r="X74" s="39" t="str">
        <f t="shared" si="12"/>
        <v> </v>
      </c>
      <c r="Y74" s="39"/>
      <c r="Z74" s="39" t="str">
        <f t="shared" si="13"/>
        <v> </v>
      </c>
      <c r="AA74" s="39"/>
      <c r="AB74" s="39" t="str">
        <f t="shared" si="14"/>
        <v> </v>
      </c>
      <c r="AC74" s="39"/>
      <c r="AD74" s="39" t="str">
        <f t="shared" si="15"/>
        <v> </v>
      </c>
      <c r="AE74" s="39"/>
      <c r="AF74" s="39" t="str">
        <f t="shared" si="16"/>
        <v> </v>
      </c>
      <c r="AG74" s="39"/>
    </row>
    <row r="75" spans="7:33" ht="13.5" thickBot="1">
      <c r="G75" s="9" t="s">
        <v>12</v>
      </c>
      <c r="H75" s="27" t="e">
        <f>Рабочий!$G$8*POWER((H63),5)+Рабочий!$G$9*POWER((H63),4)+Рабочий!$G$10*POWER((H63),3)+Рабочий!$G$11*POWER((H63),2)+Рабочий!$G$12*(H63)+Рабочий!$G$13</f>
        <v>#DIV/0!</v>
      </c>
      <c r="I75" s="27"/>
      <c r="J75" s="27" t="e">
        <f>Рабочий!$G$8*POWER((J63),5)+Рабочий!$G$9*POWER((J63),4)+Рабочий!$G$10*POWER((J63),3)+Рабочий!$G$11*POWER((J63),2)+Рабочий!$G$12*(J63)+Рабочий!$G$13</f>
        <v>#DIV/0!</v>
      </c>
      <c r="K75" s="27"/>
      <c r="L75" s="27" t="e">
        <f>Рабочий!$G$8*POWER((L63),5)+Рабочий!$G$9*POWER((L63),4)+Рабочий!$G$10*POWER((L63),3)+Рабочий!$G$11*POWER((L63),2)+Рабочий!$G$12*(L63)+Рабочий!$G$13</f>
        <v>#DIV/0!</v>
      </c>
      <c r="M75" s="27"/>
      <c r="N75" s="27" t="e">
        <f>Рабочий!$G$8*POWER((N63),5)+Рабочий!$G$9*POWER((N63),4)+Рабочий!$G$10*POWER((N63),3)+Рабочий!$G$11*POWER((N63),2)+Рабочий!$G$12*(N63)+Рабочий!$G$13</f>
        <v>#DIV/0!</v>
      </c>
      <c r="O75" s="27"/>
      <c r="P75" s="27" t="e">
        <f>Рабочий!$G$8*POWER((P63),5)+Рабочий!$G$9*POWER((P63),4)+Рабочий!$G$10*POWER((P63),3)+Рабочий!$G$11*POWER((P63),2)+Рабочий!$G$12*(P63)+Рабочий!$G$13</f>
        <v>#DIV/0!</v>
      </c>
      <c r="Q75" s="27"/>
      <c r="R75" s="27" t="e">
        <f>Рабочий!$G$8*POWER((R63),5)+Рабочий!$G$9*POWER((R63),4)+Рабочий!$G$10*POWER((R63),3)+Рабочий!$G$11*POWER((R63),2)+Рабочий!$G$12*(R63)+Рабочий!$G$13</f>
        <v>#DIV/0!</v>
      </c>
      <c r="S75" s="27"/>
      <c r="U75" s="9" t="s">
        <v>12</v>
      </c>
      <c r="V75" s="39" t="str">
        <f t="shared" si="11"/>
        <v> </v>
      </c>
      <c r="W75" s="39"/>
      <c r="X75" s="39" t="str">
        <f t="shared" si="12"/>
        <v> </v>
      </c>
      <c r="Y75" s="39"/>
      <c r="Z75" s="39" t="str">
        <f t="shared" si="13"/>
        <v> </v>
      </c>
      <c r="AA75" s="39"/>
      <c r="AB75" s="39" t="str">
        <f t="shared" si="14"/>
        <v> </v>
      </c>
      <c r="AC75" s="39"/>
      <c r="AD75" s="39" t="str">
        <f t="shared" si="15"/>
        <v> </v>
      </c>
      <c r="AE75" s="39"/>
      <c r="AF75" s="39" t="str">
        <f t="shared" si="16"/>
        <v> </v>
      </c>
      <c r="AG75" s="39"/>
    </row>
    <row r="76" spans="7:33" ht="13.5" thickBot="1">
      <c r="G76" s="9" t="s">
        <v>13</v>
      </c>
      <c r="H76" s="27" t="e">
        <f>Рабочий!$G$8*POWER((H64),5)+Рабочий!$G$9*POWER((H64),4)+Рабочий!$G$10*POWER((H64),3)+Рабочий!$G$11*POWER((H64),2)+Рабочий!$G$12*(H64)+Рабочий!$G$13</f>
        <v>#DIV/0!</v>
      </c>
      <c r="I76" s="27"/>
      <c r="J76" s="27" t="e">
        <f>Рабочий!$G$8*POWER((J64),5)+Рабочий!$G$9*POWER((J64),4)+Рабочий!$G$10*POWER((J64),3)+Рабочий!$G$11*POWER((J64),2)+Рабочий!$G$12*(J64)+Рабочий!$G$13</f>
        <v>#DIV/0!</v>
      </c>
      <c r="K76" s="27"/>
      <c r="L76" s="27" t="e">
        <f>Рабочий!$G$8*POWER((L64),5)+Рабочий!$G$9*POWER((L64),4)+Рабочий!$G$10*POWER((L64),3)+Рабочий!$G$11*POWER((L64),2)+Рабочий!$G$12*(L64)+Рабочий!$G$13</f>
        <v>#DIV/0!</v>
      </c>
      <c r="M76" s="27"/>
      <c r="N76" s="27" t="e">
        <f>Рабочий!$G$8*POWER((N64),5)+Рабочий!$G$9*POWER((N64),4)+Рабочий!$G$10*POWER((N64),3)+Рабочий!$G$11*POWER((N64),2)+Рабочий!$G$12*(N64)+Рабочий!$G$13</f>
        <v>#DIV/0!</v>
      </c>
      <c r="O76" s="27"/>
      <c r="P76" s="27" t="e">
        <f>Рабочий!$G$8*POWER((P64),5)+Рабочий!$G$9*POWER((P64),4)+Рабочий!$G$10*POWER((P64),3)+Рабочий!$G$11*POWER((P64),2)+Рабочий!$G$12*(P64)+Рабочий!$G$13</f>
        <v>#DIV/0!</v>
      </c>
      <c r="Q76" s="27"/>
      <c r="R76" s="27" t="e">
        <f>Рабочий!$G$8*POWER((R64),5)+Рабочий!$G$9*POWER((R64),4)+Рабочий!$G$10*POWER((R64),3)+Рабочий!$G$11*POWER((R64),2)+Рабочий!$G$12*(R64)+Рабочий!$G$13</f>
        <v>#DIV/0!</v>
      </c>
      <c r="S76" s="27"/>
      <c r="U76" s="9" t="s">
        <v>13</v>
      </c>
      <c r="V76" s="39" t="str">
        <f t="shared" si="11"/>
        <v> </v>
      </c>
      <c r="W76" s="39"/>
      <c r="X76" s="39" t="str">
        <f t="shared" si="12"/>
        <v> </v>
      </c>
      <c r="Y76" s="39"/>
      <c r="Z76" s="39" t="str">
        <f t="shared" si="13"/>
        <v> </v>
      </c>
      <c r="AA76" s="39"/>
      <c r="AB76" s="39" t="str">
        <f t="shared" si="14"/>
        <v> </v>
      </c>
      <c r="AC76" s="39"/>
      <c r="AD76" s="39" t="str">
        <f t="shared" si="15"/>
        <v> </v>
      </c>
      <c r="AE76" s="39"/>
      <c r="AF76" s="39" t="str">
        <f t="shared" si="16"/>
        <v> </v>
      </c>
      <c r="AG76" s="39"/>
    </row>
    <row r="77" spans="7:33" ht="13.5" thickBot="1">
      <c r="G77" s="9" t="s">
        <v>14</v>
      </c>
      <c r="H77" s="27" t="e">
        <f>Рабочий!$G$8*POWER((H65),5)+Рабочий!$G$9*POWER((H65),4)+Рабочий!$G$10*POWER((H65),3)+Рабочий!$G$11*POWER((H65),2)+Рабочий!$G$12*(H65)+Рабочий!$G$13</f>
        <v>#DIV/0!</v>
      </c>
      <c r="I77" s="27"/>
      <c r="J77" s="27" t="e">
        <f>Рабочий!$G$8*POWER((J65),5)+Рабочий!$G$9*POWER((J65),4)+Рабочий!$G$10*POWER((J65),3)+Рабочий!$G$11*POWER((J65),2)+Рабочий!$G$12*(J65)+Рабочий!$G$13</f>
        <v>#DIV/0!</v>
      </c>
      <c r="K77" s="27"/>
      <c r="L77" s="27" t="e">
        <f>Рабочий!$G$8*POWER((L65),5)+Рабочий!$G$9*POWER((L65),4)+Рабочий!$G$10*POWER((L65),3)+Рабочий!$G$11*POWER((L65),2)+Рабочий!$G$12*(L65)+Рабочий!$G$13</f>
        <v>#DIV/0!</v>
      </c>
      <c r="M77" s="27"/>
      <c r="N77" s="27" t="e">
        <f>Рабочий!$G$8*POWER((N65),5)+Рабочий!$G$9*POWER((N65),4)+Рабочий!$G$10*POWER((N65),3)+Рабочий!$G$11*POWER((N65),2)+Рабочий!$G$12*(N65)+Рабочий!$G$13</f>
        <v>#DIV/0!</v>
      </c>
      <c r="O77" s="27"/>
      <c r="P77" s="27" t="e">
        <f>Рабочий!$G$8*POWER((P65),5)+Рабочий!$G$9*POWER((P65),4)+Рабочий!$G$10*POWER((P65),3)+Рабочий!$G$11*POWER((P65),2)+Рабочий!$G$12*(P65)+Рабочий!$G$13</f>
        <v>#DIV/0!</v>
      </c>
      <c r="Q77" s="27"/>
      <c r="R77" s="27" t="e">
        <f>Рабочий!$G$8*POWER((R65),5)+Рабочий!$G$9*POWER((R65),4)+Рабочий!$G$10*POWER((R65),3)+Рабочий!$G$11*POWER((R65),2)+Рабочий!$G$12*(R65)+Рабочий!$G$13</f>
        <v>#DIV/0!</v>
      </c>
      <c r="S77" s="27"/>
      <c r="U77" s="9" t="s">
        <v>14</v>
      </c>
      <c r="V77" s="39" t="str">
        <f t="shared" si="11"/>
        <v> </v>
      </c>
      <c r="W77" s="39"/>
      <c r="X77" s="39" t="str">
        <f t="shared" si="12"/>
        <v> </v>
      </c>
      <c r="Y77" s="39"/>
      <c r="Z77" s="39" t="str">
        <f t="shared" si="13"/>
        <v> </v>
      </c>
      <c r="AA77" s="39"/>
      <c r="AB77" s="39" t="str">
        <f t="shared" si="14"/>
        <v> </v>
      </c>
      <c r="AC77" s="39"/>
      <c r="AD77" s="39" t="str">
        <f t="shared" si="15"/>
        <v> </v>
      </c>
      <c r="AE77" s="39"/>
      <c r="AF77" s="39" t="str">
        <f t="shared" si="16"/>
        <v> </v>
      </c>
      <c r="AG77" s="39"/>
    </row>
    <row r="78" spans="7:33" ht="13.5" thickBot="1">
      <c r="G78" s="9" t="s">
        <v>15</v>
      </c>
      <c r="H78" s="27" t="e">
        <f>Рабочий!$G$8*POWER((H66),5)+Рабочий!$G$9*POWER((H66),4)+Рабочий!$G$10*POWER((H66),3)+Рабочий!$G$11*POWER((H66),2)+Рабочий!$G$12*(H66)+Рабочий!$G$13</f>
        <v>#DIV/0!</v>
      </c>
      <c r="I78" s="27"/>
      <c r="J78" s="27" t="e">
        <f>Рабочий!$G$8*POWER((J66),5)+Рабочий!$G$9*POWER((J66),4)+Рабочий!$G$10*POWER((J66),3)+Рабочий!$G$11*POWER((J66),2)+Рабочий!$G$12*(J66)+Рабочий!$G$13</f>
        <v>#DIV/0!</v>
      </c>
      <c r="K78" s="27"/>
      <c r="L78" s="27" t="e">
        <f>Рабочий!$G$8*POWER((L66),5)+Рабочий!$G$9*POWER((L66),4)+Рабочий!$G$10*POWER((L66),3)+Рабочий!$G$11*POWER((L66),2)+Рабочий!$G$12*(L66)+Рабочий!$G$13</f>
        <v>#DIV/0!</v>
      </c>
      <c r="M78" s="27"/>
      <c r="N78" s="27" t="e">
        <f>Рабочий!$G$8*POWER((N66),5)+Рабочий!$G$9*POWER((N66),4)+Рабочий!$G$10*POWER((N66),3)+Рабочий!$G$11*POWER((N66),2)+Рабочий!$G$12*(N66)+Рабочий!$G$13</f>
        <v>#DIV/0!</v>
      </c>
      <c r="O78" s="27"/>
      <c r="P78" s="27" t="e">
        <f>Рабочий!$G$8*POWER((P66),5)+Рабочий!$G$9*POWER((P66),4)+Рабочий!$G$10*POWER((P66),3)+Рабочий!$G$11*POWER((P66),2)+Рабочий!$G$12*(P66)+Рабочий!$G$13</f>
        <v>#DIV/0!</v>
      </c>
      <c r="Q78" s="27"/>
      <c r="R78" s="27" t="e">
        <f>Рабочий!$G$8*POWER((R66),5)+Рабочий!$G$9*POWER((R66),4)+Рабочий!$G$10*POWER((R66),3)+Рабочий!$G$11*POWER((R66),2)+Рабочий!$G$12*(R66)+Рабочий!$G$13</f>
        <v>#DIV/0!</v>
      </c>
      <c r="S78" s="27"/>
      <c r="U78" s="9" t="s">
        <v>15</v>
      </c>
      <c r="V78" s="39" t="str">
        <f t="shared" si="11"/>
        <v> </v>
      </c>
      <c r="W78" s="39"/>
      <c r="X78" s="39" t="str">
        <f t="shared" si="12"/>
        <v> </v>
      </c>
      <c r="Y78" s="39"/>
      <c r="Z78" s="39" t="str">
        <f t="shared" si="13"/>
        <v> </v>
      </c>
      <c r="AA78" s="39"/>
      <c r="AB78" s="39" t="str">
        <f t="shared" si="14"/>
        <v> </v>
      </c>
      <c r="AC78" s="39"/>
      <c r="AD78" s="39" t="str">
        <f t="shared" si="15"/>
        <v> </v>
      </c>
      <c r="AE78" s="39"/>
      <c r="AF78" s="39" t="str">
        <f t="shared" si="16"/>
        <v> </v>
      </c>
      <c r="AG78" s="39"/>
    </row>
    <row r="80" ht="12.75">
      <c r="H80" t="s">
        <v>53</v>
      </c>
    </row>
    <row r="81" spans="8:10" ht="12.75">
      <c r="H81" t="s">
        <v>56</v>
      </c>
      <c r="J81" t="s">
        <v>57</v>
      </c>
    </row>
    <row r="83" spans="7:33" ht="13.5" thickBot="1">
      <c r="G83" s="40"/>
      <c r="H83" s="41">
        <v>1</v>
      </c>
      <c r="I83" s="41">
        <v>2</v>
      </c>
      <c r="J83" s="41">
        <v>3</v>
      </c>
      <c r="K83" s="41">
        <v>4</v>
      </c>
      <c r="L83" s="41">
        <v>5</v>
      </c>
      <c r="M83" s="41">
        <v>6</v>
      </c>
      <c r="N83" s="41">
        <v>7</v>
      </c>
      <c r="O83" s="41">
        <v>8</v>
      </c>
      <c r="P83" s="41">
        <v>9</v>
      </c>
      <c r="Q83" s="41">
        <v>10</v>
      </c>
      <c r="R83" s="41">
        <v>11</v>
      </c>
      <c r="S83" s="41">
        <v>12</v>
      </c>
      <c r="U83" s="40"/>
      <c r="V83" s="41">
        <v>1</v>
      </c>
      <c r="W83" s="41">
        <v>2</v>
      </c>
      <c r="X83" s="41">
        <v>3</v>
      </c>
      <c r="Y83" s="41">
        <v>4</v>
      </c>
      <c r="Z83" s="41">
        <v>5</v>
      </c>
      <c r="AA83" s="41">
        <v>6</v>
      </c>
      <c r="AB83" s="41">
        <v>7</v>
      </c>
      <c r="AC83" s="41">
        <v>8</v>
      </c>
      <c r="AD83" s="41">
        <v>9</v>
      </c>
      <c r="AE83" s="41">
        <v>10</v>
      </c>
      <c r="AF83" s="41">
        <v>11</v>
      </c>
      <c r="AG83" s="41">
        <v>12</v>
      </c>
    </row>
    <row r="84" spans="7:33" ht="13.5" thickBot="1">
      <c r="G84" s="9" t="s">
        <v>8</v>
      </c>
      <c r="H84" s="39" t="str">
        <f aca="true" t="shared" si="17" ref="H84:S84">IF(ISNUMBER(H71),IF($J$81="+",LN(H71),H71)," ")</f>
        <v> </v>
      </c>
      <c r="I84" s="39" t="str">
        <f t="shared" si="17"/>
        <v> </v>
      </c>
      <c r="J84" s="39" t="str">
        <f t="shared" si="17"/>
        <v> </v>
      </c>
      <c r="K84" s="39" t="str">
        <f t="shared" si="17"/>
        <v> </v>
      </c>
      <c r="L84" s="39" t="str">
        <f t="shared" si="17"/>
        <v> </v>
      </c>
      <c r="M84" s="39" t="str">
        <f t="shared" si="17"/>
        <v> </v>
      </c>
      <c r="N84" s="39" t="str">
        <f t="shared" si="17"/>
        <v> </v>
      </c>
      <c r="O84" s="39" t="str">
        <f t="shared" si="17"/>
        <v> </v>
      </c>
      <c r="P84" s="39" t="str">
        <f t="shared" si="17"/>
        <v> </v>
      </c>
      <c r="Q84" s="39" t="str">
        <f t="shared" si="17"/>
        <v> </v>
      </c>
      <c r="R84" s="39" t="str">
        <f t="shared" si="17"/>
        <v> </v>
      </c>
      <c r="S84" s="39" t="str">
        <f t="shared" si="17"/>
        <v> </v>
      </c>
      <c r="U84" s="9" t="s">
        <v>8</v>
      </c>
      <c r="V84" t="str">
        <f>IF(ISNUMBER(V71),IF(V71&gt;$D$34,IF('Ввод данных и результаты'!I7&lt;='Ввод данных и результаты'!D5,$D$34,CONCATENATE("&gt;",$D$34)),V71)," ")</f>
        <v> </v>
      </c>
      <c r="X84" t="str">
        <f>IF(ISNUMBER(X71),IF(X71&gt;$D$34,IF('Ввод данных и результаты'!K7&lt;='Ввод данных и результаты'!F5,$D$34,CONCATENATE("&gt;",$D$34)),X71)," ")</f>
        <v> </v>
      </c>
      <c r="Z84" t="str">
        <f>IF(ISNUMBER(Z71),IF(Z71&gt;$D$34,IF('Ввод данных и результаты'!M7&lt;='Ввод данных и результаты'!H5,$D$34,CONCATENATE("&gt;",$D$34)),Z71)," ")</f>
        <v> </v>
      </c>
      <c r="AB84" t="str">
        <f>IF(ISNUMBER(AB71),IF(AB71&gt;$D$34,IF('Ввод данных и результаты'!O7&lt;='Ввод данных и результаты'!J5,$D$34,CONCATENATE("&gt;",$D$34)),AB71)," ")</f>
        <v> </v>
      </c>
      <c r="AD84" t="str">
        <f>IF(ISNUMBER(AD71),IF(AD71&gt;$D$34,IF('Ввод данных и результаты'!Q7&lt;='Ввод данных и результаты'!L5,$D$34,CONCATENATE("&gt;",$D$34)),AD71)," ")</f>
        <v> </v>
      </c>
      <c r="AF84" t="str">
        <f>IF(ISNUMBER(AF71),IF(AF71&gt;$D$34,IF('Ввод данных и результаты'!S7&lt;='Ввод данных и результаты'!N5,$D$34,CONCATENATE("&gt;",$D$34)),AF71)," ")</f>
        <v> </v>
      </c>
      <c r="AG84" s="81"/>
    </row>
    <row r="85" spans="7:33" ht="13.5" thickBot="1">
      <c r="G85" s="9" t="s">
        <v>9</v>
      </c>
      <c r="H85" s="39" t="str">
        <f aca="true" t="shared" si="18" ref="H85:S85">IF(ISNUMBER(H72),IF($J$81="+",LN(H72),H72)," ")</f>
        <v> </v>
      </c>
      <c r="I85" s="39" t="str">
        <f t="shared" si="18"/>
        <v> </v>
      </c>
      <c r="J85" s="39" t="str">
        <f t="shared" si="18"/>
        <v> </v>
      </c>
      <c r="K85" s="39" t="str">
        <f t="shared" si="18"/>
        <v> </v>
      </c>
      <c r="L85" s="39" t="str">
        <f t="shared" si="18"/>
        <v> </v>
      </c>
      <c r="M85" s="39" t="str">
        <f t="shared" si="18"/>
        <v> </v>
      </c>
      <c r="N85" s="39" t="str">
        <f t="shared" si="18"/>
        <v> </v>
      </c>
      <c r="O85" s="39" t="str">
        <f t="shared" si="18"/>
        <v> </v>
      </c>
      <c r="P85" s="39" t="str">
        <f t="shared" si="18"/>
        <v> </v>
      </c>
      <c r="Q85" s="39" t="str">
        <f t="shared" si="18"/>
        <v> </v>
      </c>
      <c r="R85" s="39" t="str">
        <f t="shared" si="18"/>
        <v> </v>
      </c>
      <c r="S85" s="39" t="str">
        <f t="shared" si="18"/>
        <v> </v>
      </c>
      <c r="U85" s="9" t="s">
        <v>9</v>
      </c>
      <c r="V85" t="str">
        <f>IF(ISNUMBER(V72),IF(V72&gt;$D$34,IF('Ввод данных и результаты'!I8&lt;='Ввод данных и результаты'!D6,$D$34,CONCATENATE("&gt;",$D$34)),V72)," ")</f>
        <v> </v>
      </c>
      <c r="X85" t="str">
        <f>IF(ISNUMBER(X72),IF(X72&gt;$D$34,IF('Ввод данных и результаты'!K8&lt;='Ввод данных и результаты'!F6,$D$34,CONCATENATE("&gt;",$D$34)),X72)," ")</f>
        <v> </v>
      </c>
      <c r="Z85" t="str">
        <f>IF(ISNUMBER(Z72),IF(Z72&gt;$D$34,IF('Ввод данных и результаты'!M8&lt;='Ввод данных и результаты'!H6,$D$34,CONCATENATE("&gt;",$D$34)),Z72)," ")</f>
        <v> </v>
      </c>
      <c r="AB85" t="str">
        <f>IF(ISNUMBER(AB72),IF(AB72&gt;$D$34,IF('Ввод данных и результаты'!O8&lt;='Ввод данных и результаты'!J6,$D$34,CONCATENATE("&gt;",$D$34)),AB72)," ")</f>
        <v> </v>
      </c>
      <c r="AD85" t="str">
        <f>IF(ISNUMBER(AD72),IF(AD72&gt;$D$34,IF('Ввод данных и результаты'!Q8&lt;='Ввод данных и результаты'!L6,$D$34,CONCATENATE("&gt;",$D$34)),AD72)," ")</f>
        <v> </v>
      </c>
      <c r="AF85" t="str">
        <f>IF(ISNUMBER(AF72),IF(AF72&gt;$D$34,IF('Ввод данных и результаты'!S8&lt;='Ввод данных и результаты'!N6,$D$34,CONCATENATE("&gt;",$D$34)),AF72)," ")</f>
        <v> </v>
      </c>
      <c r="AG85" s="82"/>
    </row>
    <row r="86" spans="7:33" ht="13.5" thickBot="1">
      <c r="G86" s="9" t="s">
        <v>10</v>
      </c>
      <c r="H86" s="39" t="str">
        <f aca="true" t="shared" si="19" ref="H86:S86">IF(ISNUMBER(H73),IF($J$81="+",LN(H73),H73)," ")</f>
        <v> </v>
      </c>
      <c r="I86" s="39" t="str">
        <f t="shared" si="19"/>
        <v> </v>
      </c>
      <c r="J86" s="39" t="str">
        <f t="shared" si="19"/>
        <v> </v>
      </c>
      <c r="K86" s="39" t="str">
        <f t="shared" si="19"/>
        <v> </v>
      </c>
      <c r="L86" s="39" t="str">
        <f t="shared" si="19"/>
        <v> </v>
      </c>
      <c r="M86" s="39" t="str">
        <f t="shared" si="19"/>
        <v> </v>
      </c>
      <c r="N86" s="39" t="str">
        <f t="shared" si="19"/>
        <v> </v>
      </c>
      <c r="O86" s="39" t="str">
        <f t="shared" si="19"/>
        <v> </v>
      </c>
      <c r="P86" s="39" t="str">
        <f t="shared" si="19"/>
        <v> </v>
      </c>
      <c r="Q86" s="39" t="str">
        <f t="shared" si="19"/>
        <v> </v>
      </c>
      <c r="R86" s="39" t="str">
        <f t="shared" si="19"/>
        <v> </v>
      </c>
      <c r="S86" s="39" t="str">
        <f t="shared" si="19"/>
        <v> </v>
      </c>
      <c r="U86" s="9" t="s">
        <v>10</v>
      </c>
      <c r="V86" t="str">
        <f>IF(ISNUMBER(V73),IF(V73&gt;$D$34,IF('Ввод данных и результаты'!I9&lt;='Ввод данных и результаты'!D7,$D$34,CONCATENATE("&gt;",$D$34)),V73)," ")</f>
        <v> </v>
      </c>
      <c r="X86" t="str">
        <f>IF(ISNUMBER(X73),IF(X73&gt;$D$34,IF('Ввод данных и результаты'!K9&lt;='Ввод данных и результаты'!F7,$D$34,CONCATENATE("&gt;",$D$34)),X73)," ")</f>
        <v> </v>
      </c>
      <c r="Z86" t="str">
        <f>IF(ISNUMBER(Z73),IF(Z73&gt;$D$34,IF('Ввод данных и результаты'!M9&lt;='Ввод данных и результаты'!H7,$D$34,CONCATENATE("&gt;",$D$34)),Z73)," ")</f>
        <v> </v>
      </c>
      <c r="AB86" t="str">
        <f>IF(ISNUMBER(AB73),IF(AB73&gt;$D$34,IF('Ввод данных и результаты'!O9&lt;='Ввод данных и результаты'!J7,$D$34,CONCATENATE("&gt;",$D$34)),AB73)," ")</f>
        <v> </v>
      </c>
      <c r="AD86" t="str">
        <f>IF(ISNUMBER(AD73),IF(AD73&gt;$D$34,IF('Ввод данных и результаты'!Q9&lt;='Ввод данных и результаты'!L7,$D$34,CONCATENATE("&gt;",$D$34)),AD73)," ")</f>
        <v> </v>
      </c>
      <c r="AF86" t="str">
        <f>IF(ISNUMBER(AF73),IF(AF73&gt;$D$34,IF('Ввод данных и результаты'!S9&lt;='Ввод данных и результаты'!N7,$D$34,CONCATENATE("&gt;",$D$34)),AF73)," ")</f>
        <v> </v>
      </c>
      <c r="AG86" s="82"/>
    </row>
    <row r="87" spans="7:33" ht="13.5" thickBot="1">
      <c r="G87" s="9" t="s">
        <v>11</v>
      </c>
      <c r="H87" s="39" t="str">
        <f aca="true" t="shared" si="20" ref="H87:S87">IF(ISNUMBER(H74),IF($J$81="+",LN(H74),H74)," ")</f>
        <v> </v>
      </c>
      <c r="I87" s="39" t="str">
        <f t="shared" si="20"/>
        <v> </v>
      </c>
      <c r="J87" s="39" t="str">
        <f t="shared" si="20"/>
        <v> </v>
      </c>
      <c r="K87" s="39" t="str">
        <f t="shared" si="20"/>
        <v> </v>
      </c>
      <c r="L87" s="39" t="str">
        <f t="shared" si="20"/>
        <v> </v>
      </c>
      <c r="M87" s="39" t="str">
        <f t="shared" si="20"/>
        <v> </v>
      </c>
      <c r="N87" s="39" t="str">
        <f t="shared" si="20"/>
        <v> </v>
      </c>
      <c r="O87" s="39" t="str">
        <f t="shared" si="20"/>
        <v> </v>
      </c>
      <c r="P87" s="39" t="str">
        <f t="shared" si="20"/>
        <v> </v>
      </c>
      <c r="Q87" s="39" t="str">
        <f t="shared" si="20"/>
        <v> </v>
      </c>
      <c r="R87" s="39" t="str">
        <f t="shared" si="20"/>
        <v> </v>
      </c>
      <c r="S87" s="39" t="str">
        <f t="shared" si="20"/>
        <v> </v>
      </c>
      <c r="U87" s="9" t="s">
        <v>11</v>
      </c>
      <c r="V87" t="str">
        <f>IF(ISNUMBER(V74),IF(V74&gt;$D$34,IF('Ввод данных и результаты'!I10&lt;='Ввод данных и результаты'!D8,$D$34,CONCATENATE("&gt;",$D$34)),V74)," ")</f>
        <v> </v>
      </c>
      <c r="X87" t="str">
        <f>IF(ISNUMBER(X74),IF(X74&gt;$D$34,IF('Ввод данных и результаты'!K10&lt;='Ввод данных и результаты'!F8,$D$34,CONCATENATE("&gt;",$D$34)),X74)," ")</f>
        <v> </v>
      </c>
      <c r="Z87" t="str">
        <f>IF(ISNUMBER(Z74),IF(Z74&gt;$D$34,IF('Ввод данных и результаты'!M10&lt;='Ввод данных и результаты'!H8,$D$34,CONCATENATE("&gt;",$D$34)),Z74)," ")</f>
        <v> </v>
      </c>
      <c r="AB87" t="str">
        <f>IF(ISNUMBER(AB74),IF(AB74&gt;$D$34,IF('Ввод данных и результаты'!O10&lt;='Ввод данных и результаты'!J8,$D$34,CONCATENATE("&gt;",$D$34)),AB74)," ")</f>
        <v> </v>
      </c>
      <c r="AD87" t="str">
        <f>IF(ISNUMBER(AD74),IF(AD74&gt;$D$34,IF('Ввод данных и результаты'!Q10&lt;='Ввод данных и результаты'!L8,$D$34,CONCATENATE("&gt;",$D$34)),AD74)," ")</f>
        <v> </v>
      </c>
      <c r="AF87" t="str">
        <f>IF(ISNUMBER(AF74),IF(AF74&gt;$D$34,IF('Ввод данных и результаты'!S10&lt;='Ввод данных и результаты'!N8,$D$34,CONCATENATE("&gt;",$D$34)),AF74)," ")</f>
        <v> </v>
      </c>
      <c r="AG87" s="82"/>
    </row>
    <row r="88" spans="7:33" ht="13.5" thickBot="1">
      <c r="G88" s="9" t="s">
        <v>12</v>
      </c>
      <c r="H88" s="39" t="str">
        <f aca="true" t="shared" si="21" ref="H88:S88">IF(ISNUMBER(H75),IF($J$81="+",LN(H75),H75)," ")</f>
        <v> </v>
      </c>
      <c r="I88" s="39" t="str">
        <f t="shared" si="21"/>
        <v> </v>
      </c>
      <c r="J88" s="39" t="str">
        <f t="shared" si="21"/>
        <v> </v>
      </c>
      <c r="K88" s="39" t="str">
        <f t="shared" si="21"/>
        <v> </v>
      </c>
      <c r="L88" s="39" t="str">
        <f t="shared" si="21"/>
        <v> </v>
      </c>
      <c r="M88" s="39" t="str">
        <f t="shared" si="21"/>
        <v> </v>
      </c>
      <c r="N88" s="39" t="str">
        <f t="shared" si="21"/>
        <v> </v>
      </c>
      <c r="O88" s="39" t="str">
        <f t="shared" si="21"/>
        <v> </v>
      </c>
      <c r="P88" s="39" t="str">
        <f t="shared" si="21"/>
        <v> </v>
      </c>
      <c r="Q88" s="39" t="str">
        <f t="shared" si="21"/>
        <v> </v>
      </c>
      <c r="R88" s="39" t="str">
        <f t="shared" si="21"/>
        <v> </v>
      </c>
      <c r="S88" s="39" t="str">
        <f t="shared" si="21"/>
        <v> </v>
      </c>
      <c r="U88" s="9" t="s">
        <v>12</v>
      </c>
      <c r="V88" t="str">
        <f>IF(ISNUMBER(V75),IF(V75&gt;$D$34,IF('Ввод данных и результаты'!I11&lt;='Ввод данных и результаты'!D9,$D$34,CONCATENATE("&gt;",$D$34)),V75)," ")</f>
        <v> </v>
      </c>
      <c r="X88" t="str">
        <f>IF(ISNUMBER(X75),IF(X75&gt;$D$34,IF('Ввод данных и результаты'!K11&lt;='Ввод данных и результаты'!F9,$D$34,CONCATENATE("&gt;",$D$34)),X75)," ")</f>
        <v> </v>
      </c>
      <c r="Z88" t="str">
        <f>IF(ISNUMBER(Z75),IF(Z75&gt;$D$34,IF('Ввод данных и результаты'!M11&lt;='Ввод данных и результаты'!H9,$D$34,CONCATENATE("&gt;",$D$34)),Z75)," ")</f>
        <v> </v>
      </c>
      <c r="AB88" t="str">
        <f>IF(ISNUMBER(AB75),IF(AB75&gt;$D$34,IF('Ввод данных и результаты'!O11&lt;='Ввод данных и результаты'!J9,$D$34,CONCATENATE("&gt;",$D$34)),AB75)," ")</f>
        <v> </v>
      </c>
      <c r="AD88" t="str">
        <f>IF(ISNUMBER(AD75),IF(AD75&gt;$D$34,IF('Ввод данных и результаты'!Q11&lt;='Ввод данных и результаты'!L9,$D$34,CONCATENATE("&gt;",$D$34)),AD75)," ")</f>
        <v> </v>
      </c>
      <c r="AF88" t="str">
        <f>IF(ISNUMBER(AF75),IF(AF75&gt;$D$34,IF('Ввод данных и результаты'!S11&lt;='Ввод данных и результаты'!N9,$D$34,CONCATENATE("&gt;",$D$34)),AF75)," ")</f>
        <v> </v>
      </c>
      <c r="AG88" s="82"/>
    </row>
    <row r="89" spans="7:33" ht="13.5" thickBot="1">
      <c r="G89" s="9" t="s">
        <v>13</v>
      </c>
      <c r="H89" s="39" t="str">
        <f aca="true" t="shared" si="22" ref="H89:S89">IF(ISNUMBER(H76),IF($J$81="+",LN(H76),H76)," ")</f>
        <v> </v>
      </c>
      <c r="I89" s="39" t="str">
        <f t="shared" si="22"/>
        <v> </v>
      </c>
      <c r="J89" s="39" t="str">
        <f t="shared" si="22"/>
        <v> </v>
      </c>
      <c r="K89" s="39" t="str">
        <f t="shared" si="22"/>
        <v> </v>
      </c>
      <c r="L89" s="39" t="str">
        <f t="shared" si="22"/>
        <v> </v>
      </c>
      <c r="M89" s="39" t="str">
        <f t="shared" si="22"/>
        <v> </v>
      </c>
      <c r="N89" s="39" t="str">
        <f t="shared" si="22"/>
        <v> </v>
      </c>
      <c r="O89" s="39" t="str">
        <f t="shared" si="22"/>
        <v> </v>
      </c>
      <c r="P89" s="39" t="str">
        <f t="shared" si="22"/>
        <v> </v>
      </c>
      <c r="Q89" s="39" t="str">
        <f t="shared" si="22"/>
        <v> </v>
      </c>
      <c r="R89" s="39" t="str">
        <f t="shared" si="22"/>
        <v> </v>
      </c>
      <c r="S89" s="39" t="str">
        <f t="shared" si="22"/>
        <v> </v>
      </c>
      <c r="U89" s="9" t="s">
        <v>13</v>
      </c>
      <c r="V89" t="str">
        <f>IF(ISNUMBER(V76),IF(V76&gt;$D$34,IF('Ввод данных и результаты'!I12&lt;='Ввод данных и результаты'!D10,$D$34,CONCATENATE("&gt;",$D$34)),V76)," ")</f>
        <v> </v>
      </c>
      <c r="X89" t="str">
        <f>IF(ISNUMBER(X76),IF(X76&gt;$D$34,IF('Ввод данных и результаты'!K12&lt;='Ввод данных и результаты'!F10,$D$34,CONCATENATE("&gt;",$D$34)),X76)," ")</f>
        <v> </v>
      </c>
      <c r="Z89" t="str">
        <f>IF(ISNUMBER(Z76),IF(Z76&gt;$D$34,IF('Ввод данных и результаты'!M12&lt;='Ввод данных и результаты'!H10,$D$34,CONCATENATE("&gt;",$D$34)),Z76)," ")</f>
        <v> </v>
      </c>
      <c r="AB89" t="str">
        <f>IF(ISNUMBER(AB76),IF(AB76&gt;$D$34,IF('Ввод данных и результаты'!O12&lt;='Ввод данных и результаты'!J10,$D$34,CONCATENATE("&gt;",$D$34)),AB76)," ")</f>
        <v> </v>
      </c>
      <c r="AD89" t="str">
        <f>IF(ISNUMBER(AD76),IF(AD76&gt;$D$34,IF('Ввод данных и результаты'!Q12&lt;='Ввод данных и результаты'!L10,$D$34,CONCATENATE("&gt;",$D$34)),AD76)," ")</f>
        <v> </v>
      </c>
      <c r="AF89" t="str">
        <f>IF(ISNUMBER(AF76),IF(AF76&gt;$D$34,IF('Ввод данных и результаты'!S12&lt;='Ввод данных и результаты'!N10,$D$34,CONCATENATE("&gt;",$D$34)),AF76)," ")</f>
        <v> </v>
      </c>
      <c r="AG89" s="82"/>
    </row>
    <row r="90" spans="7:33" ht="13.5" thickBot="1">
      <c r="G90" s="9" t="s">
        <v>14</v>
      </c>
      <c r="H90" s="39" t="str">
        <f aca="true" t="shared" si="23" ref="H90:S90">IF(ISNUMBER(H77),IF($J$81="+",LN(H77),H77)," ")</f>
        <v> </v>
      </c>
      <c r="I90" s="39" t="str">
        <f t="shared" si="23"/>
        <v> </v>
      </c>
      <c r="J90" s="39" t="str">
        <f t="shared" si="23"/>
        <v> </v>
      </c>
      <c r="K90" s="39" t="str">
        <f t="shared" si="23"/>
        <v> </v>
      </c>
      <c r="L90" s="39" t="str">
        <f t="shared" si="23"/>
        <v> </v>
      </c>
      <c r="M90" s="39" t="str">
        <f t="shared" si="23"/>
        <v> </v>
      </c>
      <c r="N90" s="39" t="str">
        <f t="shared" si="23"/>
        <v> </v>
      </c>
      <c r="O90" s="39" t="str">
        <f t="shared" si="23"/>
        <v> </v>
      </c>
      <c r="P90" s="39" t="str">
        <f t="shared" si="23"/>
        <v> </v>
      </c>
      <c r="Q90" s="39" t="str">
        <f t="shared" si="23"/>
        <v> </v>
      </c>
      <c r="R90" s="39" t="str">
        <f t="shared" si="23"/>
        <v> </v>
      </c>
      <c r="S90" s="39" t="str">
        <f t="shared" si="23"/>
        <v> </v>
      </c>
      <c r="U90" s="9" t="s">
        <v>14</v>
      </c>
      <c r="V90" t="str">
        <f>IF(ISNUMBER(V77),IF(V77&gt;$D$34,IF('Ввод данных и результаты'!I13&lt;='Ввод данных и результаты'!D11,$D$34,CONCATENATE("&gt;",$D$34)),V77)," ")</f>
        <v> </v>
      </c>
      <c r="X90" t="str">
        <f>IF(ISNUMBER(X77),IF(X77&gt;$D$34,IF('Ввод данных и результаты'!K13&lt;='Ввод данных и результаты'!F11,$D$34,CONCATENATE("&gt;",$D$34)),X77)," ")</f>
        <v> </v>
      </c>
      <c r="Z90" t="str">
        <f>IF(ISNUMBER(Z77),IF(Z77&gt;$D$34,IF('Ввод данных и результаты'!M13&lt;='Ввод данных и результаты'!H11,$D$34,CONCATENATE("&gt;",$D$34)),Z77)," ")</f>
        <v> </v>
      </c>
      <c r="AB90" t="str">
        <f>IF(ISNUMBER(AB77),IF(AB77&gt;$D$34,IF('Ввод данных и результаты'!O13&lt;='Ввод данных и результаты'!J11,$D$34,CONCATENATE("&gt;",$D$34)),AB77)," ")</f>
        <v> </v>
      </c>
      <c r="AD90" t="str">
        <f>IF(ISNUMBER(AD77),IF(AD77&gt;$D$34,IF('Ввод данных и результаты'!Q13&lt;='Ввод данных и результаты'!L11,$D$34,CONCATENATE("&gt;",$D$34)),AD77)," ")</f>
        <v> </v>
      </c>
      <c r="AF90" t="str">
        <f>IF(ISNUMBER(AF77),IF(AF77&gt;$D$34,IF('Ввод данных и результаты'!S13&lt;='Ввод данных и результаты'!N11,$D$34,CONCATENATE("&gt;",$D$34)),AF77)," ")</f>
        <v> </v>
      </c>
      <c r="AG90" s="82"/>
    </row>
    <row r="91" spans="7:33" ht="13.5" thickBot="1">
      <c r="G91" s="9" t="s">
        <v>15</v>
      </c>
      <c r="H91" s="39" t="str">
        <f aca="true" t="shared" si="24" ref="H91:S91">IF(ISNUMBER(H78),IF($J$81="+",LN(H78),H78)," ")</f>
        <v> </v>
      </c>
      <c r="I91" s="39" t="str">
        <f t="shared" si="24"/>
        <v> </v>
      </c>
      <c r="J91" s="39" t="str">
        <f t="shared" si="24"/>
        <v> </v>
      </c>
      <c r="K91" s="39" t="str">
        <f t="shared" si="24"/>
        <v> </v>
      </c>
      <c r="L91" s="39" t="str">
        <f t="shared" si="24"/>
        <v> </v>
      </c>
      <c r="M91" s="39" t="str">
        <f t="shared" si="24"/>
        <v> </v>
      </c>
      <c r="N91" s="39" t="str">
        <f t="shared" si="24"/>
        <v> </v>
      </c>
      <c r="O91" s="39" t="str">
        <f t="shared" si="24"/>
        <v> </v>
      </c>
      <c r="P91" s="39" t="str">
        <f t="shared" si="24"/>
        <v> </v>
      </c>
      <c r="Q91" s="39" t="str">
        <f t="shared" si="24"/>
        <v> </v>
      </c>
      <c r="R91" s="39" t="str">
        <f t="shared" si="24"/>
        <v> </v>
      </c>
      <c r="S91" s="39" t="str">
        <f t="shared" si="24"/>
        <v> </v>
      </c>
      <c r="U91" s="9" t="s">
        <v>15</v>
      </c>
      <c r="V91" t="str">
        <f>IF(ISNUMBER(V78),IF(V78&gt;$D$34,IF('Ввод данных и результаты'!I14&lt;='Ввод данных и результаты'!D12,$D$34,CONCATENATE("&gt;",$D$34)),V78)," ")</f>
        <v> </v>
      </c>
      <c r="X91" t="str">
        <f>IF(ISNUMBER(X78),IF(X78&gt;$D$34,IF('Ввод данных и результаты'!K14&lt;='Ввод данных и результаты'!F12,$D$34,CONCATENATE("&gt;",$D$34)),X78)," ")</f>
        <v> </v>
      </c>
      <c r="Z91" t="str">
        <f>IF(ISNUMBER(Z78),IF(Z78&gt;$D$34,IF('Ввод данных и результаты'!M14&lt;='Ввод данных и результаты'!H12,$D$34,CONCATENATE("&gt;",$D$34)),Z78)," ")</f>
        <v> </v>
      </c>
      <c r="AB91" t="str">
        <f>IF(ISNUMBER(AB78),IF(AB78&gt;$D$34,IF('Ввод данных и результаты'!O14&lt;='Ввод данных и результаты'!J12,$D$34,CONCATENATE("&gt;",$D$34)),AB78)," ")</f>
        <v> </v>
      </c>
      <c r="AD91" t="str">
        <f>IF(ISNUMBER(AD78),IF(AD78&gt;$D$34,IF('Ввод данных и результаты'!Q14&lt;='Ввод данных и результаты'!L12,$D$34,CONCATENATE("&gt;",$D$34)),AD78)," ")</f>
        <v> </v>
      </c>
      <c r="AF91" t="str">
        <f>IF(ISNUMBER(AF78),IF(AF78&gt;$D$34,IF('Ввод данных и результаты'!S14&lt;='Ввод данных и результаты'!N12,$D$34,CONCATENATE("&gt;",$D$34)),AF78)," ")</f>
        <v> </v>
      </c>
      <c r="AG91" s="83"/>
    </row>
    <row r="92" spans="9:33" ht="12.75">
      <c r="I92" s="4"/>
      <c r="J92" s="4"/>
      <c r="K92" s="4"/>
      <c r="V92" s="95"/>
      <c r="W92" s="95"/>
      <c r="X92" s="95"/>
      <c r="Y92" s="95"/>
      <c r="Z92" s="95"/>
      <c r="AA92" s="95"/>
      <c r="AB92" s="95"/>
      <c r="AC92" s="95"/>
      <c r="AD92" s="95"/>
      <c r="AE92" s="95"/>
      <c r="AF92" s="95"/>
      <c r="AG92" s="95"/>
    </row>
    <row r="93" spans="9:33" ht="12.75">
      <c r="I93" s="4"/>
      <c r="J93" s="4"/>
      <c r="K93" s="4"/>
      <c r="L93" t="s">
        <v>74</v>
      </c>
      <c r="N93" t="s">
        <v>58</v>
      </c>
      <c r="V93" s="7"/>
      <c r="W93" s="7"/>
      <c r="X93" s="7"/>
      <c r="Y93" s="7"/>
      <c r="Z93" s="7"/>
      <c r="AA93" s="7"/>
      <c r="AB93" s="7"/>
      <c r="AC93" s="7"/>
      <c r="AD93" s="7"/>
      <c r="AE93" s="7"/>
      <c r="AF93" s="7"/>
      <c r="AG93" s="7"/>
    </row>
    <row r="94" spans="7:15" ht="12.75">
      <c r="G94" s="69" t="s">
        <v>69</v>
      </c>
      <c r="H94" t="s">
        <v>61</v>
      </c>
      <c r="I94" s="4" t="s">
        <v>70</v>
      </c>
      <c r="J94" s="4" t="s">
        <v>63</v>
      </c>
      <c r="K94" s="4" t="s">
        <v>71</v>
      </c>
      <c r="L94" s="4" t="s">
        <v>72</v>
      </c>
      <c r="M94" s="4" t="s">
        <v>73</v>
      </c>
      <c r="N94" s="4" t="s">
        <v>72</v>
      </c>
      <c r="O94" s="4" t="s">
        <v>73</v>
      </c>
    </row>
    <row r="95" spans="4:15" ht="12.75">
      <c r="D95" t="s">
        <v>96</v>
      </c>
      <c r="E95">
        <v>5</v>
      </c>
      <c r="G95" t="s">
        <v>66</v>
      </c>
      <c r="H95">
        <v>5</v>
      </c>
      <c r="I95" s="4" t="s">
        <v>57</v>
      </c>
      <c r="J95" s="4">
        <v>1</v>
      </c>
      <c r="K95" t="s">
        <v>79</v>
      </c>
      <c r="L95">
        <v>0</v>
      </c>
      <c r="M95" t="str">
        <f>CONCATENATE("&gt;",$J$34)</f>
        <v>&gt;-1000000</v>
      </c>
      <c r="N95">
        <v>0.4</v>
      </c>
      <c r="O95">
        <v>4</v>
      </c>
    </row>
    <row r="96" spans="4:15" ht="12.75">
      <c r="D96" t="s">
        <v>95</v>
      </c>
      <c r="E96">
        <v>1</v>
      </c>
      <c r="G96" t="s">
        <v>77</v>
      </c>
      <c r="H96">
        <v>2</v>
      </c>
      <c r="I96" s="4" t="s">
        <v>91</v>
      </c>
      <c r="J96" s="4">
        <v>0</v>
      </c>
      <c r="K96" t="s">
        <v>78</v>
      </c>
      <c r="L96" t="str">
        <f>CONCATENATE("&gt;",$J$34)</f>
        <v>&gt;-1000000</v>
      </c>
      <c r="M96">
        <v>0</v>
      </c>
      <c r="N96">
        <v>9</v>
      </c>
      <c r="O96">
        <v>22.2</v>
      </c>
    </row>
    <row r="97" spans="4:15" ht="12.75">
      <c r="D97" t="s">
        <v>107</v>
      </c>
      <c r="E97">
        <v>2</v>
      </c>
      <c r="G97" t="s">
        <v>93</v>
      </c>
      <c r="H97">
        <v>2</v>
      </c>
      <c r="I97" t="s">
        <v>91</v>
      </c>
      <c r="J97" s="4">
        <v>0</v>
      </c>
      <c r="K97" s="4" t="s">
        <v>92</v>
      </c>
      <c r="L97" t="str">
        <f>CONCATENATE("&gt;",$J$34)</f>
        <v>&gt;-1000000</v>
      </c>
      <c r="M97">
        <v>0</v>
      </c>
      <c r="N97">
        <v>59</v>
      </c>
      <c r="O97">
        <v>153</v>
      </c>
    </row>
    <row r="98" spans="4:15" ht="12.75">
      <c r="D98" t="s">
        <v>108</v>
      </c>
      <c r="E98">
        <v>3</v>
      </c>
      <c r="G98" t="s">
        <v>88</v>
      </c>
      <c r="H98">
        <v>2</v>
      </c>
      <c r="I98" t="s">
        <v>91</v>
      </c>
      <c r="J98" s="4">
        <v>0</v>
      </c>
      <c r="K98" s="4" t="s">
        <v>94</v>
      </c>
      <c r="L98" t="str">
        <f>CONCATENATE("&gt;",$J$34)</f>
        <v>&gt;-1000000</v>
      </c>
      <c r="M98">
        <v>0</v>
      </c>
      <c r="N98">
        <v>1.2</v>
      </c>
      <c r="O98">
        <v>4.2</v>
      </c>
    </row>
    <row r="99" spans="4:15" ht="12.75">
      <c r="D99" t="s">
        <v>109</v>
      </c>
      <c r="E99">
        <v>4</v>
      </c>
      <c r="G99" t="s">
        <v>89</v>
      </c>
      <c r="H99">
        <v>2</v>
      </c>
      <c r="I99" t="s">
        <v>91</v>
      </c>
      <c r="J99" s="4">
        <v>0</v>
      </c>
      <c r="K99" s="4" t="s">
        <v>85</v>
      </c>
      <c r="L99" t="str">
        <f>CONCATENATE("&gt;",$J$34)</f>
        <v>&gt;-1000000</v>
      </c>
      <c r="M99">
        <v>0</v>
      </c>
      <c r="N99">
        <v>0.56</v>
      </c>
      <c r="O99">
        <v>1.88</v>
      </c>
    </row>
    <row r="100" spans="4:15" ht="12.75">
      <c r="D100" t="s">
        <v>98</v>
      </c>
      <c r="E100">
        <v>10</v>
      </c>
      <c r="G100" t="s">
        <v>82</v>
      </c>
      <c r="H100">
        <v>5</v>
      </c>
      <c r="I100" s="4" t="s">
        <v>57</v>
      </c>
      <c r="J100" s="4">
        <v>1</v>
      </c>
      <c r="K100" t="s">
        <v>75</v>
      </c>
      <c r="L100">
        <v>0</v>
      </c>
      <c r="M100" t="str">
        <f aca="true" t="shared" si="25" ref="M100:M109">CONCATENATE("&gt;",$J$34)</f>
        <v>&gt;-1000000</v>
      </c>
      <c r="N100">
        <v>1E-06</v>
      </c>
      <c r="O100">
        <v>100</v>
      </c>
    </row>
    <row r="101" spans="4:15" ht="12.75">
      <c r="D101" t="s">
        <v>99</v>
      </c>
      <c r="E101">
        <v>11</v>
      </c>
      <c r="G101" t="s">
        <v>83</v>
      </c>
      <c r="H101">
        <v>5</v>
      </c>
      <c r="I101" s="4" t="s">
        <v>57</v>
      </c>
      <c r="J101" s="4">
        <v>1</v>
      </c>
      <c r="K101" t="s">
        <v>75</v>
      </c>
      <c r="L101">
        <v>0</v>
      </c>
      <c r="M101" t="str">
        <f t="shared" si="25"/>
        <v>&gt;-1000000</v>
      </c>
      <c r="N101">
        <v>1E-06</v>
      </c>
      <c r="O101">
        <v>30</v>
      </c>
    </row>
    <row r="102" spans="4:15" ht="13.5" thickBot="1">
      <c r="D102" t="s">
        <v>106</v>
      </c>
      <c r="E102">
        <v>15</v>
      </c>
      <c r="G102" t="s">
        <v>90</v>
      </c>
      <c r="H102">
        <v>5</v>
      </c>
      <c r="I102" s="4" t="s">
        <v>57</v>
      </c>
      <c r="J102" s="4">
        <v>1</v>
      </c>
      <c r="K102" t="s">
        <v>85</v>
      </c>
      <c r="L102">
        <v>0</v>
      </c>
      <c r="M102" t="str">
        <f t="shared" si="25"/>
        <v>&gt;-1000000</v>
      </c>
      <c r="N102">
        <v>1E-06</v>
      </c>
      <c r="O102">
        <v>50</v>
      </c>
    </row>
    <row r="103" spans="4:15" ht="13.5" thickBot="1">
      <c r="D103" s="75" t="s">
        <v>103</v>
      </c>
      <c r="E103">
        <v>7</v>
      </c>
      <c r="G103" t="s">
        <v>65</v>
      </c>
      <c r="H103">
        <v>5</v>
      </c>
      <c r="I103" s="4" t="s">
        <v>57</v>
      </c>
      <c r="J103" s="4">
        <v>1</v>
      </c>
      <c r="K103" t="s">
        <v>76</v>
      </c>
      <c r="L103">
        <v>0</v>
      </c>
      <c r="M103" t="str">
        <f t="shared" si="25"/>
        <v>&gt;-1000000</v>
      </c>
      <c r="N103">
        <v>1E-06</v>
      </c>
      <c r="O103">
        <v>1000</v>
      </c>
    </row>
    <row r="104" spans="4:15" ht="12.75">
      <c r="D104" s="75" t="s">
        <v>104</v>
      </c>
      <c r="E104">
        <v>8</v>
      </c>
      <c r="G104" t="s">
        <v>64</v>
      </c>
      <c r="H104">
        <v>5</v>
      </c>
      <c r="I104" s="4" t="s">
        <v>57</v>
      </c>
      <c r="J104" s="4">
        <v>1</v>
      </c>
      <c r="K104" t="s">
        <v>76</v>
      </c>
      <c r="L104">
        <v>0</v>
      </c>
      <c r="M104" t="str">
        <f t="shared" si="25"/>
        <v>&gt;-1000000</v>
      </c>
      <c r="N104">
        <v>1E-06</v>
      </c>
      <c r="O104">
        <v>1000</v>
      </c>
    </row>
    <row r="105" spans="4:15" ht="12.75">
      <c r="D105" t="s">
        <v>97</v>
      </c>
      <c r="E105">
        <v>9</v>
      </c>
      <c r="G105" t="s">
        <v>81</v>
      </c>
      <c r="H105">
        <v>5</v>
      </c>
      <c r="I105" s="4" t="s">
        <v>57</v>
      </c>
      <c r="J105" s="4">
        <v>1</v>
      </c>
      <c r="K105" t="s">
        <v>76</v>
      </c>
      <c r="L105">
        <v>0</v>
      </c>
      <c r="M105" t="str">
        <f t="shared" si="25"/>
        <v>&gt;-1000000</v>
      </c>
      <c r="N105">
        <v>1E-06</v>
      </c>
      <c r="O105">
        <v>1000</v>
      </c>
    </row>
    <row r="106" spans="4:15" ht="12.75">
      <c r="D106" t="s">
        <v>105</v>
      </c>
      <c r="E106">
        <v>6</v>
      </c>
      <c r="G106" t="s">
        <v>80</v>
      </c>
      <c r="H106">
        <v>5</v>
      </c>
      <c r="I106" s="4" t="s">
        <v>57</v>
      </c>
      <c r="J106" s="4">
        <v>1</v>
      </c>
      <c r="K106" t="s">
        <v>76</v>
      </c>
      <c r="L106">
        <v>0</v>
      </c>
      <c r="M106" t="str">
        <f t="shared" si="25"/>
        <v>&gt;-1000000</v>
      </c>
      <c r="N106">
        <v>1E-06</v>
      </c>
      <c r="O106">
        <v>2</v>
      </c>
    </row>
    <row r="107" spans="4:15" ht="12.75">
      <c r="D107" t="s">
        <v>100</v>
      </c>
      <c r="E107">
        <v>12</v>
      </c>
      <c r="G107" t="s">
        <v>84</v>
      </c>
      <c r="H107">
        <v>5</v>
      </c>
      <c r="I107" s="4" t="s">
        <v>57</v>
      </c>
      <c r="J107" s="4">
        <v>1</v>
      </c>
      <c r="K107" t="s">
        <v>75</v>
      </c>
      <c r="L107">
        <v>0</v>
      </c>
      <c r="M107" t="str">
        <f t="shared" si="25"/>
        <v>&gt;-1000000</v>
      </c>
      <c r="N107">
        <v>1E-06</v>
      </c>
      <c r="O107">
        <v>10</v>
      </c>
    </row>
    <row r="108" spans="4:15" ht="12.75">
      <c r="D108" t="s">
        <v>102</v>
      </c>
      <c r="E108">
        <v>14</v>
      </c>
      <c r="G108" t="s">
        <v>87</v>
      </c>
      <c r="H108">
        <v>4</v>
      </c>
      <c r="I108" s="4" t="s">
        <v>57</v>
      </c>
      <c r="J108" s="4">
        <v>1</v>
      </c>
      <c r="K108" t="s">
        <v>85</v>
      </c>
      <c r="L108">
        <v>0</v>
      </c>
      <c r="M108" t="str">
        <f t="shared" si="25"/>
        <v>&gt;-1000000</v>
      </c>
      <c r="N108">
        <v>1E-06</v>
      </c>
      <c r="O108">
        <v>1000</v>
      </c>
    </row>
    <row r="109" spans="4:15" ht="12.75">
      <c r="D109" t="s">
        <v>101</v>
      </c>
      <c r="E109">
        <v>13</v>
      </c>
      <c r="G109" t="s">
        <v>86</v>
      </c>
      <c r="H109">
        <v>5</v>
      </c>
      <c r="I109" s="4" t="s">
        <v>57</v>
      </c>
      <c r="J109" s="4">
        <v>1</v>
      </c>
      <c r="K109" t="s">
        <v>85</v>
      </c>
      <c r="L109">
        <v>0</v>
      </c>
      <c r="M109" t="str">
        <f t="shared" si="25"/>
        <v>&gt;-1000000</v>
      </c>
      <c r="N109">
        <v>1E-06</v>
      </c>
      <c r="O109">
        <v>1000</v>
      </c>
    </row>
    <row r="111" spans="7:15" ht="12.75">
      <c r="G111">
        <v>7</v>
      </c>
      <c r="H111">
        <v>8</v>
      </c>
      <c r="I111">
        <v>9</v>
      </c>
      <c r="J111">
        <v>10</v>
      </c>
      <c r="K111">
        <v>11</v>
      </c>
      <c r="L111">
        <v>12</v>
      </c>
      <c r="M111">
        <v>13</v>
      </c>
      <c r="N111">
        <v>14</v>
      </c>
      <c r="O111">
        <v>15</v>
      </c>
    </row>
    <row r="116" spans="4:13" ht="12.75">
      <c r="D116" s="7"/>
      <c r="E116" s="7"/>
      <c r="F116" s="7"/>
      <c r="G116" s="7"/>
      <c r="H116" s="7"/>
      <c r="I116" s="7"/>
      <c r="J116" s="7"/>
      <c r="K116" s="7"/>
      <c r="L116" s="7"/>
      <c r="M116" s="7"/>
    </row>
    <row r="117" spans="4:13" ht="12.75">
      <c r="D117" s="7"/>
      <c r="E117" s="7"/>
      <c r="F117" s="7"/>
      <c r="G117" s="7"/>
      <c r="H117" s="7"/>
      <c r="I117" s="7"/>
      <c r="J117" s="7"/>
      <c r="K117" s="7"/>
      <c r="L117" s="7"/>
      <c r="M117" s="7"/>
    </row>
    <row r="118" spans="4:13" ht="12.75">
      <c r="D118" s="7"/>
      <c r="E118" s="7"/>
      <c r="F118" s="7"/>
      <c r="G118" s="7"/>
      <c r="H118" s="7"/>
      <c r="I118" s="7"/>
      <c r="J118" s="7"/>
      <c r="K118" s="7"/>
      <c r="L118" s="7"/>
      <c r="M118" s="7"/>
    </row>
    <row r="119" spans="4:13" ht="12.75">
      <c r="D119" s="7"/>
      <c r="E119" s="7"/>
      <c r="F119" s="7"/>
      <c r="G119" s="7"/>
      <c r="H119" s="7"/>
      <c r="I119" s="7"/>
      <c r="J119" s="7"/>
      <c r="K119" s="7"/>
      <c r="L119" s="7"/>
      <c r="M119" s="7"/>
    </row>
    <row r="120" spans="4:13" ht="12.75">
      <c r="D120" s="7"/>
      <c r="E120" s="97"/>
      <c r="F120" s="7"/>
      <c r="G120" s="7"/>
      <c r="H120" s="97"/>
      <c r="I120" s="7"/>
      <c r="J120" s="7"/>
      <c r="K120" s="7"/>
      <c r="L120" s="7"/>
      <c r="M120" s="7"/>
    </row>
    <row r="121" spans="4:13" ht="12.75">
      <c r="D121" s="7"/>
      <c r="E121" s="97"/>
      <c r="F121" s="7"/>
      <c r="G121" s="7"/>
      <c r="H121" s="97"/>
      <c r="I121" s="7"/>
      <c r="J121" s="7"/>
      <c r="K121" s="7"/>
      <c r="L121" s="7"/>
      <c r="M121" s="7"/>
    </row>
    <row r="122" spans="4:13" ht="12.75">
      <c r="D122" s="7"/>
      <c r="E122" s="97"/>
      <c r="F122" s="7"/>
      <c r="G122" s="7"/>
      <c r="H122" s="97"/>
      <c r="I122" s="7"/>
      <c r="J122" s="7"/>
      <c r="K122" s="7"/>
      <c r="L122" s="7"/>
      <c r="M122" s="7"/>
    </row>
    <row r="123" spans="4:13" ht="12.75">
      <c r="D123" s="7"/>
      <c r="E123" s="97"/>
      <c r="F123" s="7"/>
      <c r="G123" s="7"/>
      <c r="H123" s="97"/>
      <c r="I123" s="7"/>
      <c r="J123" s="7"/>
      <c r="K123" s="7"/>
      <c r="L123" s="7"/>
      <c r="M123" s="7"/>
    </row>
    <row r="124" spans="4:13" ht="12.75">
      <c r="D124" s="98"/>
      <c r="E124" s="97"/>
      <c r="F124" s="7"/>
      <c r="G124" s="98"/>
      <c r="H124" s="97"/>
      <c r="I124" s="7"/>
      <c r="J124" s="7"/>
      <c r="K124" s="7"/>
      <c r="L124" s="7"/>
      <c r="M124" s="7"/>
    </row>
    <row r="125" spans="4:13" ht="12.75">
      <c r="D125" s="98"/>
      <c r="E125" s="97"/>
      <c r="F125" s="7"/>
      <c r="G125" s="98"/>
      <c r="H125" s="97"/>
      <c r="I125" s="7"/>
      <c r="J125" s="7"/>
      <c r="K125" s="7"/>
      <c r="L125" s="7"/>
      <c r="M125" s="7"/>
    </row>
    <row r="126" spans="4:13" ht="12.75">
      <c r="D126" s="7"/>
      <c r="E126" s="97"/>
      <c r="F126" s="7"/>
      <c r="G126" s="7"/>
      <c r="H126" s="97"/>
      <c r="I126" s="7"/>
      <c r="J126" s="7"/>
      <c r="K126" s="7"/>
      <c r="L126" s="7"/>
      <c r="M126" s="7"/>
    </row>
    <row r="127" spans="4:13" ht="12.75">
      <c r="D127" s="7"/>
      <c r="E127" s="97"/>
      <c r="F127" s="7"/>
      <c r="G127" s="7"/>
      <c r="H127" s="97"/>
      <c r="I127" s="7"/>
      <c r="J127" s="7"/>
      <c r="K127" s="7"/>
      <c r="L127" s="7"/>
      <c r="M127" s="7"/>
    </row>
    <row r="128" spans="4:13" ht="12.75">
      <c r="D128" s="7"/>
      <c r="E128" s="97"/>
      <c r="F128" s="7"/>
      <c r="G128" s="7"/>
      <c r="H128" s="97"/>
      <c r="I128" s="7"/>
      <c r="J128" s="7"/>
      <c r="K128" s="7"/>
      <c r="L128" s="7"/>
      <c r="M128" s="7"/>
    </row>
    <row r="129" spans="4:13" ht="12.75">
      <c r="D129" s="7"/>
      <c r="E129" s="97"/>
      <c r="F129" s="7"/>
      <c r="G129" s="7"/>
      <c r="H129" s="97"/>
      <c r="I129" s="7"/>
      <c r="J129" s="7"/>
      <c r="K129" s="7"/>
      <c r="L129" s="7"/>
      <c r="M129" s="7"/>
    </row>
    <row r="130" spans="4:13" ht="12.75">
      <c r="D130" s="7"/>
      <c r="E130" s="97"/>
      <c r="F130" s="7"/>
      <c r="G130" s="7"/>
      <c r="H130" s="97"/>
      <c r="I130" s="7"/>
      <c r="J130" s="7"/>
      <c r="K130" s="7"/>
      <c r="L130" s="7"/>
      <c r="M130" s="7"/>
    </row>
    <row r="131" spans="4:13" ht="12.75">
      <c r="D131" s="97"/>
      <c r="E131" s="97"/>
      <c r="F131" s="97"/>
      <c r="G131" s="97"/>
      <c r="H131" s="97"/>
      <c r="I131" s="7"/>
      <c r="J131" s="7"/>
      <c r="K131" s="7"/>
      <c r="L131" s="7"/>
      <c r="M131" s="7"/>
    </row>
    <row r="132" spans="4:8" ht="12.75">
      <c r="D132" s="97"/>
      <c r="E132" s="97"/>
      <c r="F132" s="97"/>
      <c r="G132" s="97"/>
      <c r="H132" s="97"/>
    </row>
    <row r="133" spans="4:8" ht="12.75">
      <c r="D133" s="97"/>
      <c r="E133" s="97"/>
      <c r="F133" s="97"/>
      <c r="G133" s="97"/>
      <c r="H133" s="97"/>
    </row>
    <row r="134" spans="4:8" ht="12.75">
      <c r="D134" s="97"/>
      <c r="E134" s="97"/>
      <c r="F134" s="97"/>
      <c r="G134" s="97"/>
      <c r="H134" s="97"/>
    </row>
    <row r="135" spans="4:8" ht="12.75">
      <c r="D135" s="97"/>
      <c r="E135" s="97"/>
      <c r="F135" s="97"/>
      <c r="G135" s="97"/>
      <c r="H135" s="97"/>
    </row>
    <row r="136" spans="4:8" ht="12.75">
      <c r="D136" s="97"/>
      <c r="E136" s="97"/>
      <c r="F136" s="97"/>
      <c r="G136" s="97"/>
      <c r="H136" s="97"/>
    </row>
  </sheetData>
  <conditionalFormatting sqref="H71:S78">
    <cfRule type="cellIs" priority="1" dxfId="0" operator="lessThan" stopIfTrue="1">
      <formula>$D$45</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Polanskaya</dc:creator>
  <cp:keywords/>
  <dc:description/>
  <cp:lastModifiedBy>OVNT-B</cp:lastModifiedBy>
  <cp:lastPrinted>2007-12-08T11:14:45Z</cp:lastPrinted>
  <dcterms:created xsi:type="dcterms:W3CDTF">2006-11-16T07:57:29Z</dcterms:created>
  <dcterms:modified xsi:type="dcterms:W3CDTF">2008-09-22T10:00:53Z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