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935" yWindow="1170" windowWidth="5235" windowHeight="2985" activeTab="2"/>
  </bookViews>
  <sheets>
    <sheet name="Инструкция" sheetId="1" r:id="rId1"/>
    <sheet name="HBs,RUBELLA" sheetId="2" r:id="rId2"/>
    <sheet name="ТОКСО, ЦМВ" sheetId="3" r:id="rId3"/>
    <sheet name="Рабочий" sheetId="4" state="hidden" r:id="rId4"/>
  </sheets>
  <definedNames/>
  <calcPr fullCalcOnLoad="1"/>
</workbook>
</file>

<file path=xl/sharedStrings.xml><?xml version="1.0" encoding="utf-8"?>
<sst xmlns="http://schemas.openxmlformats.org/spreadsheetml/2006/main" count="173" uniqueCount="129">
  <si>
    <t>Log</t>
  </si>
  <si>
    <t>позиция х</t>
  </si>
  <si>
    <t>длина строки</t>
  </si>
  <si>
    <t>ОП сывороток, О.Е.</t>
  </si>
  <si>
    <t>общий Т4</t>
  </si>
  <si>
    <t>свободный Т3</t>
  </si>
  <si>
    <t>общий Т3</t>
  </si>
  <si>
    <t>свободный Т4</t>
  </si>
  <si>
    <t>A</t>
  </si>
  <si>
    <t>B</t>
  </si>
  <si>
    <t>C</t>
  </si>
  <si>
    <t>D</t>
  </si>
  <si>
    <t>E</t>
  </si>
  <si>
    <t>F</t>
  </si>
  <si>
    <t>G</t>
  </si>
  <si>
    <t>H</t>
  </si>
  <si>
    <t>выкинуть</t>
  </si>
  <si>
    <t>ДС-ИФА-АНТИ-ЦМВ-G</t>
  </si>
  <si>
    <t>ДС-ИФА-АНТИ-ТОКСО-G</t>
  </si>
  <si>
    <t>1. Выберите название тест-системы</t>
  </si>
  <si>
    <t>Выделение цветом:</t>
  </si>
  <si>
    <t>-отрицательные сыворотки</t>
  </si>
  <si>
    <t>-сомнительные сыворотки</t>
  </si>
  <si>
    <t>позиция х2</t>
  </si>
  <si>
    <t>проверка условия</t>
  </si>
  <si>
    <t>начало подстроки</t>
  </si>
  <si>
    <t>конец подстроки</t>
  </si>
  <si>
    <t>коэффициент</t>
  </si>
  <si>
    <t>позиция x5</t>
  </si>
  <si>
    <t>позиция x4</t>
  </si>
  <si>
    <t>позиция x3</t>
  </si>
  <si>
    <t>R2 = 1</t>
  </si>
  <si>
    <t>/15);2))+1)</t>
  </si>
  <si>
    <t>(10*СТЕПЕНЬ(2;(ЦЕЛОЕ(LOG(X/15);2))+1))</t>
  </si>
  <si>
    <t>-сыворотки, попавшие в "серую зону"</t>
  </si>
  <si>
    <t>О.П. калибратора, О.Е.</t>
  </si>
  <si>
    <t>ДС-ИФА-АНТИ-RUBELLA-G</t>
  </si>
  <si>
    <t>ДС-ИФА-АНТИ-HBs</t>
  </si>
  <si>
    <t>2.Внесите значения средних ОП калибраторов:</t>
  </si>
  <si>
    <t>1. Выберите название тест-системы:</t>
  </si>
  <si>
    <t>2.Внесите значения калибраторов в повторах:</t>
  </si>
  <si>
    <t>Концентрация АТ в образце, МЕ/мл</t>
  </si>
  <si>
    <t>Для ДС-ИФА-АНТИ-HBs также внесите значения ОП К- в повторах:</t>
  </si>
  <si>
    <t>4.Внесите значения оптических плотностей сывороток:</t>
  </si>
  <si>
    <t>5. Результаты:</t>
  </si>
  <si>
    <t>450/620 нм</t>
  </si>
  <si>
    <t>405/620 нм</t>
  </si>
  <si>
    <t>3. Выберите длины волн при которых производился учет ОП :</t>
  </si>
  <si>
    <t>4.Внесите значения ОП сывороток:</t>
  </si>
  <si>
    <t>5.Результаты:</t>
  </si>
  <si>
    <t>Файлы для обработки результатов количественных тест-систем</t>
  </si>
  <si>
    <t xml:space="preserve"> производства НПО «Диагностические системы»</t>
  </si>
  <si>
    <t>Инструкция ПО применению</t>
  </si>
  <si>
    <t>СОДЕРЖАНИЕ</t>
  </si>
  <si>
    <t>Общие сведения о продукте</t>
  </si>
  <si>
    <t>Установка файлов</t>
  </si>
  <si>
    <t>Определение концентраций и титров маркеров инфекционных заболеваний</t>
  </si>
  <si>
    <t>«ДС-ИФА-АНТИ-RUBELLA-G»</t>
  </si>
  <si>
    <t>«ДС-ИФА-АНТИ-HBs»</t>
  </si>
  <si>
    <t xml:space="preserve"> «ДС-ИФА-АНТИ-ТОКСО-G»</t>
  </si>
  <si>
    <t xml:space="preserve"> «ДС-ИФА-АНТИ-ЦМВ-G»</t>
  </si>
  <si>
    <t>Копирование данных в другие файлы Excel</t>
  </si>
  <si>
    <t>Возможные сбои в работе программы и способы их устранения</t>
  </si>
  <si>
    <t>Данные файлы предназначены для обработки результатов количественных иммуноферментных тест-систем производства НПО «Диагностические системы». Файлы автоматически рассчитывают концентрации и титры антител в исследуемых образцах.</t>
  </si>
  <si>
    <t>Файлы реализованы в формате Microsoft Excel. Работа с ними осуществляется на компьютере с операционной системой Windows и установленным приложением MS Excel.</t>
  </si>
  <si>
    <r>
      <t>Файл “</t>
    </r>
    <r>
      <rPr>
        <b/>
        <sz val="12"/>
        <rFont val="Times New Roman"/>
        <family val="1"/>
      </rPr>
      <t xml:space="preserve">Маркеры инфекционных заболеваний.xls “ </t>
    </r>
    <r>
      <rPr>
        <sz val="12"/>
        <rFont val="Times New Roman"/>
        <family val="1"/>
      </rPr>
      <t>используется</t>
    </r>
    <r>
      <rPr>
        <b/>
        <sz val="12"/>
        <rFont val="Times New Roman"/>
        <family val="1"/>
      </rPr>
      <t xml:space="preserve"> </t>
    </r>
    <r>
      <rPr>
        <sz val="12"/>
        <rFont val="Times New Roman"/>
        <family val="1"/>
      </rPr>
      <t>для обработки результатов следующих тест-систем:</t>
    </r>
  </si>
  <si>
    <t>«ДС-ИФА-АНТИ-ЦМВ-G»;</t>
  </si>
  <si>
    <t>«ДС-ИФА-АНТИ-ТОКСО-G»;</t>
  </si>
  <si>
    <t>«ДС-ИФА-АНТИ-HBs»;</t>
  </si>
  <si>
    <t>«ДС-ИФА-АНТИ-RUBELLA-G»;</t>
  </si>
  <si>
    <r>
      <t>Файл</t>
    </r>
    <r>
      <rPr>
        <b/>
        <sz val="12"/>
        <rFont val="Times New Roman"/>
        <family val="1"/>
      </rPr>
      <t xml:space="preserve"> “Инструкция.doc” </t>
    </r>
    <r>
      <rPr>
        <sz val="12"/>
        <rFont val="Times New Roman"/>
        <family val="1"/>
      </rPr>
      <t>содержит электронный вариант инструкции.</t>
    </r>
  </si>
  <si>
    <t xml:space="preserve">1. Файлы рекомендуется скопировать на используемый компьютер. </t>
  </si>
  <si>
    <t xml:space="preserve">В случае нарушения  работы файлов вследствие изменения или удаления значений рабочих ячеек - необходимо заново скопировать файл. </t>
  </si>
  <si>
    <t>Также допустима работа с файлами непосредственно с CD-диска.</t>
  </si>
  <si>
    <r>
      <t xml:space="preserve">2. Для работы программы необходимо настроить в Excel с помощью меню   </t>
    </r>
    <r>
      <rPr>
        <sz val="12"/>
        <color indexed="12"/>
        <rFont val="Times New Roman"/>
        <family val="1"/>
      </rPr>
      <t>«Сервис»-&gt;«Макрос»-&gt;«Безопасность»</t>
    </r>
    <r>
      <rPr>
        <sz val="12"/>
        <rFont val="Times New Roman"/>
        <family val="1"/>
      </rPr>
      <t xml:space="preserve"> низкий уровень безопасности для макросов (рис.1).</t>
    </r>
  </si>
  <si>
    <t>При первом использовании файла после установки уровня безопасности необходимо закрыть файл и открыть его заново для включения макросов.</t>
  </si>
  <si>
    <t>Рис. 1</t>
  </si>
  <si>
    <t xml:space="preserve"> </t>
  </si>
  <si>
    <t xml:space="preserve">Определение концентраций и титров </t>
  </si>
  <si>
    <t>маркеров инфекционных заболеваний</t>
  </si>
  <si>
    <r>
      <t xml:space="preserve">Определение концентраций и титров маркеров инфекционных заболеваний производится с помощью файла </t>
    </r>
    <r>
      <rPr>
        <b/>
        <sz val="12"/>
        <rFont val="Times New Roman"/>
        <family val="1"/>
      </rPr>
      <t>«Маркеры инфекционных заболеваний.xls»</t>
    </r>
  </si>
  <si>
    <t>«ДС-ИФА-АНТИ-Rubella-G»</t>
  </si>
  <si>
    <r>
      <t xml:space="preserve">Определение концентрации антител для тест-системы </t>
    </r>
    <r>
      <rPr>
        <b/>
        <sz val="12"/>
        <rFont val="Times New Roman"/>
        <family val="1"/>
      </rPr>
      <t xml:space="preserve">«ДС-ИФА-АНТИ-Rubella-G» </t>
    </r>
    <r>
      <rPr>
        <sz val="12"/>
        <rFont val="Times New Roman"/>
        <family val="1"/>
      </rPr>
      <t xml:space="preserve">следует проводить на листе </t>
    </r>
    <r>
      <rPr>
        <b/>
        <sz val="12"/>
        <rFont val="Times New Roman"/>
        <family val="1"/>
      </rPr>
      <t>«HBs, RUBELLA»</t>
    </r>
    <r>
      <rPr>
        <sz val="12"/>
        <color indexed="12"/>
        <rFont val="Times New Roman"/>
        <family val="1"/>
      </rPr>
      <t xml:space="preserve"> </t>
    </r>
    <r>
      <rPr>
        <sz val="12"/>
        <rFont val="Times New Roman"/>
        <family val="1"/>
      </rPr>
      <t>(рис.3А)</t>
    </r>
    <r>
      <rPr>
        <sz val="12"/>
        <color indexed="12"/>
        <rFont val="Times New Roman"/>
        <family val="1"/>
      </rPr>
      <t xml:space="preserve"> </t>
    </r>
    <r>
      <rPr>
        <sz val="12"/>
        <rFont val="Times New Roman"/>
        <family val="1"/>
      </rPr>
      <t xml:space="preserve"> по следующему алгоритму:</t>
    </r>
  </si>
  <si>
    <r>
      <t xml:space="preserve">1. Выберите в выпадающем списке название тест-системы </t>
    </r>
    <r>
      <rPr>
        <b/>
        <sz val="12"/>
        <rFont val="Times New Roman"/>
        <family val="1"/>
      </rPr>
      <t>«ДС-ИФА-АНТИ-Rubella-G»</t>
    </r>
    <r>
      <rPr>
        <sz val="12"/>
        <rFont val="Times New Roman"/>
        <family val="1"/>
      </rPr>
      <t xml:space="preserve"> (рис.3Б).</t>
    </r>
  </si>
  <si>
    <t>2. Внесите указанные значения  концентрации антител в калибраторах  и значения ОП калибраторов (рис.3В).</t>
  </si>
  <si>
    <t>3. Нажатием кнопки подберите формулу для пересчета (формула будет внесена автоматически). Обратите внимание, что при изменении значения ОП или концентрации одного из калибраторов рассчитанные значения концентраций антител для образцов автоматически обнуляются, и необходимо опять подбирать формулу нажатием кнопки 3 (рис.3Г).</t>
  </si>
  <si>
    <t>4. Внесите значения ОП исследуемых образцов вручную или вставьте, скопировав из другого файла или программы (рис.3Д).</t>
  </si>
  <si>
    <r>
      <t xml:space="preserve">При вставке данных обратите внимание, какой разделитель используется во вставляемых значениях (запятая или точка). Если разделитель отличается от разделителя используемого в вашей версии Excel, до внесения данных необходимо выбрать разделитель, используемый во вставляемых данных: зайдите в меню </t>
    </r>
    <r>
      <rPr>
        <sz val="12"/>
        <color indexed="12"/>
        <rFont val="Times New Roman"/>
        <family val="1"/>
      </rPr>
      <t xml:space="preserve">«Сервис»-&gt; «Параметры» (рис.2А), </t>
    </r>
    <r>
      <rPr>
        <i/>
        <sz val="12"/>
        <color indexed="10"/>
        <rFont val="Times New Roman"/>
        <family val="1"/>
      </rPr>
      <t xml:space="preserve">перейдите на вкладку </t>
    </r>
    <r>
      <rPr>
        <sz val="12"/>
        <color indexed="12"/>
        <rFont val="Times New Roman"/>
        <family val="1"/>
      </rPr>
      <t>«Международные»</t>
    </r>
    <r>
      <rPr>
        <i/>
        <sz val="12"/>
        <color indexed="10"/>
        <rFont val="Times New Roman"/>
        <family val="1"/>
      </rPr>
      <t xml:space="preserve">, отключите флажок </t>
    </r>
    <r>
      <rPr>
        <sz val="12"/>
        <color indexed="12"/>
        <rFont val="Times New Roman"/>
        <family val="1"/>
      </rPr>
      <t>«Использовать системные разделители» (рис.2Б)</t>
    </r>
    <r>
      <rPr>
        <i/>
        <sz val="12"/>
        <color indexed="10"/>
        <rFont val="Times New Roman"/>
        <family val="1"/>
      </rPr>
      <t xml:space="preserve"> и в окошке</t>
    </r>
    <r>
      <rPr>
        <sz val="12"/>
        <color indexed="12"/>
        <rFont val="Times New Roman"/>
        <family val="1"/>
      </rPr>
      <t xml:space="preserve"> «Разделитель дробной и целой части» (рис.2В)  </t>
    </r>
    <r>
      <rPr>
        <i/>
        <sz val="12"/>
        <color indexed="10"/>
        <rFont val="Times New Roman"/>
        <family val="1"/>
      </rPr>
      <t>укажите нужный знак.</t>
    </r>
    <r>
      <rPr>
        <sz val="12"/>
        <color indexed="8"/>
        <rFont val="Times New Roman"/>
        <family val="1"/>
      </rPr>
      <t xml:space="preserve"> </t>
    </r>
  </si>
  <si>
    <t>Рис.2</t>
  </si>
  <si>
    <t>5. В нижней таблице представлены концентрации в образцах антител к Rubella virus, МЕ/мл (рис.3Е). Зеленым цветом выделены образцы, не содержащие защитного уровня антител к Rubella virus. Желтым цветом выделены образцы «серой» зоны, отличающиеся от 10 МЕ/мл менее чем на 10%.</t>
  </si>
  <si>
    <t>Рис.3</t>
  </si>
  <si>
    <r>
      <t xml:space="preserve">Определение концентрации антител для тест-системы </t>
    </r>
    <r>
      <rPr>
        <b/>
        <sz val="11"/>
        <rFont val="Times New Roman"/>
        <family val="1"/>
      </rPr>
      <t>«ДС-ИФА-АНТИ-HBs»</t>
    </r>
    <r>
      <rPr>
        <sz val="12"/>
        <rFont val="Times New Roman"/>
        <family val="1"/>
      </rPr>
      <t xml:space="preserve"> следует проводить на листе </t>
    </r>
    <r>
      <rPr>
        <b/>
        <sz val="12"/>
        <rFont val="Times New Roman"/>
        <family val="1"/>
      </rPr>
      <t>«HBs,RUBELLA»</t>
    </r>
    <r>
      <rPr>
        <sz val="12"/>
        <rFont val="Times New Roman"/>
        <family val="1"/>
      </rPr>
      <t xml:space="preserve"> (рис.4А) по следующему алгоритму:</t>
    </r>
  </si>
  <si>
    <r>
      <t>1. Выберите в выпадающем списке название тест-системы «</t>
    </r>
    <r>
      <rPr>
        <b/>
        <sz val="11"/>
        <rFont val="Times New Roman"/>
        <family val="1"/>
      </rPr>
      <t xml:space="preserve">ДС-ИФА-АНТИ-HBs» </t>
    </r>
    <r>
      <rPr>
        <sz val="12"/>
        <rFont val="Times New Roman"/>
        <family val="1"/>
      </rPr>
      <t>(рис.4Б).</t>
    </r>
  </si>
  <si>
    <t>2. Внесите указанные значения  концентрации антител в калибраторах, значения ОП калибраторов (рис.4В) и значения ОП К- в повторах (рис.4Г).</t>
  </si>
  <si>
    <t>3. Нажатием кнопки (рис.4Д) подберите формулу для пересчета (формула будет внесена автоматически). Обратите внимание, что при изменении значения ОП или концентрации одного из калибраторов рассчитанные значения концентраций антител для образцов автоматически обнуляются, и необходимо опять подбирать формулу нажатием кнопки.</t>
  </si>
  <si>
    <t>4. Внесите значения ОП исследуемых образцов вручную или вставьте, скопировав из другого файла или программы (рис. 4Е).</t>
  </si>
  <si>
    <t>5.  В нижней таблице представлены концентрации  в образцах антител к HBs, мМЕ/мл (рис.4Ж). Зеленым цветом выделены негативные образцы.</t>
  </si>
  <si>
    <t xml:space="preserve">Рис. 4 </t>
  </si>
  <si>
    <t>«ДС-ИФА-АНТИ-ТОКСО-G»</t>
  </si>
  <si>
    <r>
      <t xml:space="preserve">Определение концентрации антител для тест-системы </t>
    </r>
    <r>
      <rPr>
        <b/>
        <sz val="12"/>
        <rFont val="Times New Roman"/>
        <family val="1"/>
      </rPr>
      <t>«ДС-ИФА-АНТИ-</t>
    </r>
    <r>
      <rPr>
        <b/>
        <sz val="11"/>
        <rFont val="Times New Roman"/>
        <family val="1"/>
      </rPr>
      <t>ТОКСО</t>
    </r>
    <r>
      <rPr>
        <b/>
        <sz val="12"/>
        <rFont val="Times New Roman"/>
        <family val="1"/>
      </rPr>
      <t>-G»</t>
    </r>
  </si>
  <si>
    <r>
      <t xml:space="preserve">следует проводить на листе </t>
    </r>
    <r>
      <rPr>
        <b/>
        <sz val="12"/>
        <rFont val="Times New Roman"/>
        <family val="1"/>
      </rPr>
      <t>«ТОКСО, ЦМВ»</t>
    </r>
    <r>
      <rPr>
        <sz val="12"/>
        <rFont val="Times New Roman"/>
        <family val="1"/>
      </rPr>
      <t xml:space="preserve"> (рис.5А) по следующему алгоритму:</t>
    </r>
  </si>
  <si>
    <r>
      <t xml:space="preserve">1. Выберите в выпадающем списке тест-систему </t>
    </r>
    <r>
      <rPr>
        <b/>
        <sz val="11"/>
        <rFont val="Times New Roman"/>
        <family val="1"/>
      </rPr>
      <t>«ДС-ИФА-АНТИ-ТОКСО-G»</t>
    </r>
    <r>
      <rPr>
        <sz val="12"/>
        <rFont val="Times New Roman"/>
        <family val="1"/>
      </rPr>
      <t xml:space="preserve"> (рис. 5Б)</t>
    </r>
    <r>
      <rPr>
        <b/>
        <sz val="11"/>
        <rFont val="Times New Roman"/>
        <family val="1"/>
      </rPr>
      <t>.</t>
    </r>
  </si>
  <si>
    <t>2. Внесите значения ОП калибраторов в повторах (рис.5В).</t>
  </si>
  <si>
    <t>3. Выберите длины волн при которых проводился учет результатов (рис.5Г).</t>
  </si>
  <si>
    <t>4. Внесите значения ОП исследуемых образцов вручную или вставьте, скопировав из другого файла или программы (рис.5Д).</t>
  </si>
  <si>
    <r>
      <t xml:space="preserve">5. В нижней таблице представлены концентрации  в образцах антител к </t>
    </r>
    <r>
      <rPr>
        <i/>
        <sz val="12"/>
        <rFont val="Times New Roman"/>
        <family val="1"/>
      </rPr>
      <t>Toxoplasma gondii,</t>
    </r>
    <r>
      <rPr>
        <sz val="12"/>
        <rFont val="Times New Roman"/>
        <family val="1"/>
      </rPr>
      <t xml:space="preserve"> МЕ/мл (рис.5Е). Зеленым цветом выделены негативные образцы. Желтым цветом выделены сомнительные образцы.</t>
    </r>
  </si>
  <si>
    <t>Рис. 5</t>
  </si>
  <si>
    <r>
      <t xml:space="preserve">Определение концентрации антител для тест-системы </t>
    </r>
    <r>
      <rPr>
        <b/>
        <sz val="12"/>
        <rFont val="Times New Roman"/>
        <family val="1"/>
      </rPr>
      <t>«ДС-ИФА-АНТИ-</t>
    </r>
    <r>
      <rPr>
        <b/>
        <sz val="11"/>
        <rFont val="Times New Roman"/>
        <family val="1"/>
      </rPr>
      <t xml:space="preserve"> ЦМВ</t>
    </r>
    <r>
      <rPr>
        <b/>
        <sz val="12"/>
        <rFont val="Times New Roman"/>
        <family val="1"/>
      </rPr>
      <t xml:space="preserve"> -G»</t>
    </r>
  </si>
  <si>
    <r>
      <t xml:space="preserve">следует проводить на листе </t>
    </r>
    <r>
      <rPr>
        <b/>
        <sz val="12"/>
        <rFont val="Times New Roman"/>
        <family val="1"/>
      </rPr>
      <t xml:space="preserve">«ТОКСО, ЦМВ» </t>
    </r>
    <r>
      <rPr>
        <sz val="12"/>
        <rFont val="Times New Roman"/>
        <family val="1"/>
      </rPr>
      <t>(рис.6А) по следующему алгоритму:</t>
    </r>
  </si>
  <si>
    <r>
      <t xml:space="preserve">1. Выберите в выпадающем списке тест-систему </t>
    </r>
    <r>
      <rPr>
        <b/>
        <sz val="11"/>
        <rFont val="Times New Roman"/>
        <family val="1"/>
      </rPr>
      <t xml:space="preserve">«ДС-ИФА-АНТИ- ЦМВ -G» </t>
    </r>
    <r>
      <rPr>
        <sz val="12"/>
        <rFont val="Times New Roman"/>
        <family val="1"/>
      </rPr>
      <t>(рис.6Б)</t>
    </r>
    <r>
      <rPr>
        <b/>
        <sz val="11"/>
        <rFont val="Times New Roman"/>
        <family val="1"/>
      </rPr>
      <t>.</t>
    </r>
  </si>
  <si>
    <t>2. Внесите значения ОП калибраторов в повторах (рис.6В).</t>
  </si>
  <si>
    <t>3. Выберите длины волн прикоторых проводился учет результатов (рис.6Г).</t>
  </si>
  <si>
    <t>4. Внесите значения ОП исследуемых образцов вручную или вставьте, скопировав из другого файла или программы (рис.6Д).</t>
  </si>
  <si>
    <r>
      <t xml:space="preserve">5. В нижней таблице представлены концентрации  в образцах антител к </t>
    </r>
    <r>
      <rPr>
        <sz val="11"/>
        <rFont val="Times New Roman"/>
        <family val="1"/>
      </rPr>
      <t>ЦМВ</t>
    </r>
    <r>
      <rPr>
        <sz val="12"/>
        <rFont val="Times New Roman"/>
        <family val="1"/>
      </rPr>
      <t>, МЕ/мл  (рис.6Е). Зеленым цветом выделены негативные образцы. Желтым цветом выделены сомнительные образцы.</t>
    </r>
  </si>
  <si>
    <t>Рис. 6</t>
  </si>
  <si>
    <t xml:space="preserve">Рис. 7 </t>
  </si>
  <si>
    <t>Копирование данных в другие файлы Microsoft Excel</t>
  </si>
  <si>
    <t>Нарушения работы программы возможны в следующих случаях:</t>
  </si>
  <si>
    <r>
      <t>1. Отключены макросы.</t>
    </r>
    <r>
      <rPr>
        <sz val="12"/>
        <rFont val="Times New Roman"/>
        <family val="1"/>
      </rPr>
      <t xml:space="preserve"> Решение этой проблемы описано в разделе «Установка файлов», пункт 2.</t>
    </r>
  </si>
  <si>
    <r>
      <t>2. Замена или удаление значений рабочих ячеек.</t>
    </r>
    <r>
      <rPr>
        <sz val="12"/>
        <rFont val="Times New Roman"/>
        <family val="1"/>
      </rPr>
      <t xml:space="preserve"> В этом случае необходимо заново скопировать на компьютер файлы с диска.</t>
    </r>
  </si>
  <si>
    <t>Замечания и вопросы по работе с файлами  присылайте по адресу: ckd@npods.ru</t>
  </si>
  <si>
    <t>ДС-ИФА-АНТИ-ВПГ-1,2-G</t>
  </si>
  <si>
    <t>ДС-ИФА-АНТИ-ВПГ-2-G</t>
  </si>
  <si>
    <t>ИФА-АНТИ-ЛЮИС-G</t>
  </si>
  <si>
    <t xml:space="preserve">ИФА-АНТИ-ЛЮИС-GM </t>
  </si>
  <si>
    <t>y = 1,1239x3 - 4,783x2 + 7,3609x + 0,4944</t>
  </si>
  <si>
    <r>
      <t>Каждый файл состоит из нескольких листов: на первом листе располагается инструкция по использованию, на последующих располагаются модули для обработки результатов тест-систем соответственно названиям листов</t>
    </r>
    <r>
      <rPr>
        <sz val="12"/>
        <rFont val="Times New Roman"/>
        <family val="1"/>
      </rPr>
      <t>.</t>
    </r>
  </si>
  <si>
    <t>При копировании данных в другие файлы или листы Microsoft Excel необходимо скопировать нужные ячейки и вставить только значения (рис.7Б) с помощью функции «Специальная вставка» (вызывается из меню правой кнопки мыши- рис.7А).</t>
  </si>
  <si>
    <t>Рис.7</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</si>
</sst>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
    <numFmt numFmtId="177" formatCode="0.0000"/>
    <numFmt numFmtId="178" formatCode="0.000000"/>
    <numFmt numFmtId="179" formatCode="0.0"/>
    <numFmt numFmtId="180" formatCode="0.000"/>
  </numFmts>
  <fonts count="59">
    <font>
      <sz val="10"/>
      <name val="Arial Cyr"/>
      <family val="0"/>
    </font>
    <font>
      <b/>
      <sz val="10"/>
      <name val="Arial Cyr"/>
      <family val="2"/>
    </font>
    <font>
      <b/>
      <sz val="10"/>
      <color indexed="20"/>
      <name val="Arial Cyr"/>
      <family val="0"/>
    </font>
    <font>
      <b/>
      <sz val="14"/>
      <color indexed="20"/>
      <name val="Arial Cyr"/>
      <family val="0"/>
    </font>
    <font>
      <u val="single"/>
      <sz val="10"/>
      <color indexed="12"/>
      <name val="Arial Cyr"/>
      <family val="0"/>
    </font>
    <font>
      <u val="single"/>
      <sz val="10"/>
      <color indexed="36"/>
      <name val="Arial Cyr"/>
      <family val="0"/>
    </font>
    <font>
      <sz val="12"/>
      <name val="Times New Roman"/>
      <family val="1"/>
    </font>
    <font>
      <sz val="12"/>
      <color indexed="12"/>
      <name val="Times New Roman"/>
      <family val="1"/>
    </font>
    <font>
      <b/>
      <sz val="12"/>
      <name val="Times New Roman"/>
      <family val="1"/>
    </font>
    <font>
      <b/>
      <sz val="11"/>
      <name val="Times New Roman"/>
      <family val="1"/>
    </font>
    <font>
      <i/>
      <sz val="12"/>
      <color indexed="10"/>
      <name val="Times New Roman"/>
      <family val="1"/>
    </font>
    <font>
      <sz val="8"/>
      <name val="Arial Cyr"/>
      <family val="0"/>
    </font>
    <font>
      <b/>
      <sz val="8"/>
      <color indexed="20"/>
      <name val="Arial Cyr"/>
      <family val="0"/>
    </font>
    <font>
      <b/>
      <sz val="14"/>
      <color indexed="14"/>
      <name val="Arial Cyr"/>
      <family val="0"/>
    </font>
    <font>
      <b/>
      <sz val="10"/>
      <color indexed="14"/>
      <name val="Arial Cyr"/>
      <family val="0"/>
    </font>
    <font>
      <b/>
      <sz val="14"/>
      <name val="Times New Roman"/>
      <family val="1"/>
    </font>
    <font>
      <sz val="14"/>
      <name val="Times New Roman"/>
      <family val="1"/>
    </font>
    <font>
      <sz val="11"/>
      <name val="Times New Roman"/>
      <family val="1"/>
    </font>
    <font>
      <i/>
      <sz val="12"/>
      <name val="Times New Roman"/>
      <family val="1"/>
    </font>
    <font>
      <sz val="12"/>
      <color indexed="8"/>
      <name val="Times New Roman"/>
      <family val="1"/>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i/>
      <sz val="10"/>
      <color indexed="20"/>
      <name val="Arial Cyr"/>
      <family val="0"/>
    </font>
    <font>
      <sz val="2.25"/>
      <color indexed="8"/>
      <name val="Arial Cyr"/>
      <family val="0"/>
    </font>
    <font>
      <vertAlign val="superscript"/>
      <sz val="2.25"/>
      <color indexed="8"/>
      <name val="Arial Cyr"/>
      <family val="0"/>
    </font>
    <font>
      <sz val="2"/>
      <color indexed="8"/>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color indexed="63"/>
      </left>
      <right style="medium"/>
      <top style="medium"/>
      <bottom style="medium"/>
    </border>
    <border>
      <left style="thin"/>
      <right style="thin"/>
      <top style="thin"/>
      <bottom style="thin"/>
    </border>
    <border>
      <left style="medium"/>
      <right>
        <color indexed="63"/>
      </right>
      <top style="medium"/>
      <bottom style="medium"/>
    </border>
    <border>
      <left style="medium"/>
      <right style="medium"/>
      <top style="medium"/>
      <bottom>
        <color indexed="63"/>
      </bottom>
    </border>
    <border>
      <left>
        <color indexed="63"/>
      </left>
      <right style="medium"/>
      <top>
        <color indexed="63"/>
      </top>
      <bottom>
        <color indexed="63"/>
      </botto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8" fillId="32" borderId="0" applyNumberFormat="0" applyBorder="0" applyAlignment="0" applyProtection="0"/>
  </cellStyleXfs>
  <cellXfs count="79">
    <xf numFmtId="0" fontId="0" fillId="0" borderId="0" xfId="0" applyAlignment="1">
      <alignment/>
    </xf>
    <xf numFmtId="0" fontId="1" fillId="0" borderId="10" xfId="0" applyFont="1" applyBorder="1" applyAlignment="1">
      <alignment wrapText="1"/>
    </xf>
    <xf numFmtId="0" fontId="0" fillId="0" borderId="10" xfId="0" applyBorder="1" applyAlignment="1">
      <alignment/>
    </xf>
    <xf numFmtId="0" fontId="0" fillId="0" borderId="11" xfId="0" applyFont="1" applyBorder="1" applyAlignment="1">
      <alignment wrapText="1"/>
    </xf>
    <xf numFmtId="176" fontId="0" fillId="0" borderId="0" xfId="0" applyNumberFormat="1" applyAlignment="1">
      <alignment/>
    </xf>
    <xf numFmtId="0" fontId="0" fillId="33" borderId="0" xfId="0" applyFill="1" applyAlignment="1">
      <alignment/>
    </xf>
    <xf numFmtId="0" fontId="0" fillId="0" borderId="0" xfId="0" applyFill="1" applyAlignment="1">
      <alignment/>
    </xf>
    <xf numFmtId="177" fontId="0" fillId="0" borderId="0" xfId="0" applyNumberFormat="1" applyAlignment="1">
      <alignment/>
    </xf>
    <xf numFmtId="178" fontId="0" fillId="0" borderId="0" xfId="0" applyNumberFormat="1" applyAlignment="1">
      <alignment/>
    </xf>
    <xf numFmtId="0" fontId="0" fillId="0" borderId="0" xfId="0" applyBorder="1" applyAlignment="1">
      <alignment/>
    </xf>
    <xf numFmtId="0" fontId="2" fillId="0" borderId="10" xfId="0" applyFont="1" applyBorder="1" applyAlignment="1">
      <alignment horizontal="center"/>
    </xf>
    <xf numFmtId="0" fontId="2" fillId="0" borderId="10" xfId="0" applyFont="1" applyBorder="1" applyAlignment="1">
      <alignment horizontal="right"/>
    </xf>
    <xf numFmtId="0" fontId="2" fillId="0" borderId="0" xfId="0" applyFont="1" applyAlignment="1">
      <alignment/>
    </xf>
    <xf numFmtId="0" fontId="0" fillId="0" borderId="0" xfId="0" applyFont="1" applyBorder="1" applyAlignment="1">
      <alignment wrapText="1"/>
    </xf>
    <xf numFmtId="0" fontId="3" fillId="0" borderId="0" xfId="0" applyFont="1" applyAlignment="1">
      <alignment/>
    </xf>
    <xf numFmtId="0" fontId="0" fillId="0" borderId="12" xfId="0" applyBorder="1" applyAlignment="1">
      <alignment horizontal="center"/>
    </xf>
    <xf numFmtId="0" fontId="2" fillId="0" borderId="0" xfId="0" applyFont="1" applyAlignment="1">
      <alignment wrapText="1"/>
    </xf>
    <xf numFmtId="0" fontId="1" fillId="0" borderId="0" xfId="0" applyFont="1" applyAlignment="1">
      <alignment/>
    </xf>
    <xf numFmtId="0" fontId="2" fillId="0" borderId="0" xfId="0" applyFont="1" applyBorder="1" applyAlignment="1">
      <alignment wrapText="1"/>
    </xf>
    <xf numFmtId="0" fontId="1" fillId="0" borderId="0" xfId="0" applyFont="1" applyBorder="1" applyAlignment="1">
      <alignment wrapText="1"/>
    </xf>
    <xf numFmtId="0" fontId="2" fillId="0" borderId="0" xfId="0" applyFont="1" applyFill="1" applyBorder="1" applyAlignment="1">
      <alignment horizontal="center"/>
    </xf>
    <xf numFmtId="0" fontId="2" fillId="0" borderId="0" xfId="0" applyFont="1" applyFill="1" applyBorder="1" applyAlignment="1">
      <alignment horizontal="right"/>
    </xf>
    <xf numFmtId="179" fontId="0" fillId="0" borderId="0" xfId="0" applyNumberFormat="1" applyFill="1" applyBorder="1" applyAlignment="1">
      <alignment/>
    </xf>
    <xf numFmtId="0" fontId="2" fillId="0" borderId="13" xfId="0" applyFont="1" applyBorder="1" applyAlignment="1">
      <alignment horizontal="right"/>
    </xf>
    <xf numFmtId="0" fontId="2" fillId="0" borderId="14" xfId="0" applyFont="1" applyBorder="1" applyAlignment="1">
      <alignment horizontal="center"/>
    </xf>
    <xf numFmtId="0" fontId="1" fillId="0" borderId="0" xfId="0" applyFont="1" applyFill="1" applyBorder="1" applyAlignment="1">
      <alignment/>
    </xf>
    <xf numFmtId="49" fontId="0" fillId="0" borderId="0" xfId="0" applyNumberFormat="1" applyAlignment="1">
      <alignment/>
    </xf>
    <xf numFmtId="0" fontId="0" fillId="34" borderId="0" xfId="0" applyFill="1" applyAlignment="1">
      <alignment/>
    </xf>
    <xf numFmtId="0" fontId="0" fillId="35" borderId="0" xfId="0" applyFill="1" applyAlignment="1">
      <alignment/>
    </xf>
    <xf numFmtId="0" fontId="0" fillId="0" borderId="0" xfId="0" applyAlignment="1">
      <alignment wrapText="1"/>
    </xf>
    <xf numFmtId="179" fontId="0" fillId="0" borderId="10" xfId="0" applyNumberFormat="1" applyBorder="1" applyAlignment="1">
      <alignment horizontal="center"/>
    </xf>
    <xf numFmtId="0" fontId="0" fillId="0" borderId="10" xfId="0" applyBorder="1" applyAlignment="1">
      <alignment horizontal="center"/>
    </xf>
    <xf numFmtId="0" fontId="2" fillId="0" borderId="0" xfId="0" applyFont="1" applyBorder="1" applyAlignment="1">
      <alignment vertical="center" wrapText="1"/>
    </xf>
    <xf numFmtId="0" fontId="0" fillId="36" borderId="0" xfId="0" applyFill="1" applyAlignment="1">
      <alignment horizontal="right"/>
    </xf>
    <xf numFmtId="0" fontId="2" fillId="0" borderId="0" xfId="0" applyFont="1" applyAlignment="1">
      <alignment vertical="center"/>
    </xf>
    <xf numFmtId="0" fontId="2" fillId="0" borderId="0" xfId="0" applyFont="1" applyAlignment="1">
      <alignment vertical="justify"/>
    </xf>
    <xf numFmtId="0" fontId="0" fillId="0" borderId="0" xfId="0" applyBorder="1" applyAlignment="1">
      <alignment horizontal="center"/>
    </xf>
    <xf numFmtId="0" fontId="0" fillId="0" borderId="0" xfId="0" applyAlignment="1">
      <alignment/>
    </xf>
    <xf numFmtId="0" fontId="0" fillId="0" borderId="15" xfId="0" applyBorder="1" applyAlignment="1">
      <alignment/>
    </xf>
    <xf numFmtId="0" fontId="2" fillId="0" borderId="0" xfId="0" applyFont="1" applyAlignment="1">
      <alignment/>
    </xf>
    <xf numFmtId="0" fontId="12" fillId="0" borderId="0" xfId="0" applyFont="1" applyBorder="1" applyAlignment="1">
      <alignment horizontal="left"/>
    </xf>
    <xf numFmtId="0" fontId="2" fillId="0" borderId="10" xfId="0" applyFont="1" applyBorder="1" applyAlignment="1">
      <alignment wrapText="1"/>
    </xf>
    <xf numFmtId="0" fontId="1" fillId="0" borderId="10" xfId="0" applyFont="1" applyBorder="1" applyAlignment="1">
      <alignment horizontal="center" vertical="center" wrapText="1"/>
    </xf>
    <xf numFmtId="0" fontId="2" fillId="0" borderId="0" xfId="0" applyFont="1" applyBorder="1" applyAlignment="1">
      <alignment/>
    </xf>
    <xf numFmtId="0" fontId="1" fillId="0" borderId="10" xfId="0" applyFont="1" applyBorder="1" applyAlignment="1">
      <alignment horizontal="center"/>
    </xf>
    <xf numFmtId="0" fontId="13" fillId="0" borderId="0" xfId="0" applyFont="1" applyAlignment="1">
      <alignment/>
    </xf>
    <xf numFmtId="0" fontId="1" fillId="0" borderId="14" xfId="0" applyFont="1" applyBorder="1" applyAlignment="1">
      <alignment horizontal="center" vertical="center" wrapText="1"/>
    </xf>
    <xf numFmtId="0" fontId="14" fillId="0" borderId="0" xfId="0" applyFont="1" applyAlignment="1">
      <alignment/>
    </xf>
    <xf numFmtId="0" fontId="0" fillId="0" borderId="0" xfId="0" applyFont="1" applyAlignment="1">
      <alignment/>
    </xf>
    <xf numFmtId="0" fontId="15" fillId="0" borderId="0" xfId="0" applyFont="1" applyBorder="1" applyAlignment="1">
      <alignment horizontal="center" wrapText="1"/>
    </xf>
    <xf numFmtId="0" fontId="6" fillId="0" borderId="0" xfId="0" applyFont="1" applyBorder="1" applyAlignment="1">
      <alignment horizontal="center" wrapText="1"/>
    </xf>
    <xf numFmtId="0" fontId="8" fillId="0" borderId="0" xfId="0" applyFont="1" applyBorder="1" applyAlignment="1">
      <alignment horizontal="center" wrapText="1"/>
    </xf>
    <xf numFmtId="0" fontId="8" fillId="0" borderId="0" xfId="0" applyFont="1" applyBorder="1" applyAlignment="1">
      <alignment horizontal="center"/>
    </xf>
    <xf numFmtId="0" fontId="6" fillId="0" borderId="0" xfId="0" applyFont="1" applyBorder="1" applyAlignment="1">
      <alignment/>
    </xf>
    <xf numFmtId="0" fontId="6" fillId="0" borderId="0" xfId="0" applyFont="1" applyBorder="1" applyAlignment="1">
      <alignment horizontal="left" indent="1"/>
    </xf>
    <xf numFmtId="0" fontId="8" fillId="0" borderId="0" xfId="0" applyFont="1" applyBorder="1" applyAlignment="1">
      <alignment wrapText="1"/>
    </xf>
    <xf numFmtId="0" fontId="7" fillId="0" borderId="0" xfId="0" applyFont="1" applyBorder="1" applyAlignment="1">
      <alignment horizontal="left" indent="2"/>
    </xf>
    <xf numFmtId="0" fontId="6" fillId="0" borderId="0" xfId="0" applyFont="1" applyBorder="1" applyAlignment="1">
      <alignment horizontal="left" indent="2"/>
    </xf>
    <xf numFmtId="0" fontId="9" fillId="0" borderId="0" xfId="0" applyFont="1" applyBorder="1" applyAlignment="1">
      <alignment horizontal="center"/>
    </xf>
    <xf numFmtId="0" fontId="8" fillId="0" borderId="0" xfId="0" applyFont="1" applyBorder="1" applyAlignment="1">
      <alignment horizontal="left" wrapText="1"/>
    </xf>
    <xf numFmtId="0" fontId="10" fillId="0" borderId="0" xfId="0" applyFont="1" applyBorder="1" applyAlignment="1">
      <alignment horizontal="left" indent="2"/>
    </xf>
    <xf numFmtId="0" fontId="0" fillId="0" borderId="0" xfId="0" applyBorder="1" applyAlignment="1">
      <alignment wrapText="1"/>
    </xf>
    <xf numFmtId="0" fontId="9" fillId="0" borderId="0" xfId="0" applyFont="1" applyBorder="1" applyAlignment="1">
      <alignment horizontal="left" indent="2"/>
    </xf>
    <xf numFmtId="0" fontId="6" fillId="0" borderId="0" xfId="0" applyFont="1" applyBorder="1" applyAlignment="1">
      <alignment wrapText="1"/>
    </xf>
    <xf numFmtId="0" fontId="16" fillId="0" borderId="0" xfId="0" applyFont="1" applyBorder="1" applyAlignment="1">
      <alignment horizontal="center" wrapText="1"/>
    </xf>
    <xf numFmtId="0" fontId="6" fillId="0" borderId="0" xfId="0" applyFont="1" applyBorder="1" applyAlignment="1">
      <alignment horizontal="left" wrapText="1"/>
    </xf>
    <xf numFmtId="0" fontId="6" fillId="0" borderId="0" xfId="0" applyFont="1" applyBorder="1" applyAlignment="1">
      <alignment horizontal="center"/>
    </xf>
    <xf numFmtId="0" fontId="9" fillId="0" borderId="0" xfId="0" applyFont="1" applyBorder="1" applyAlignment="1">
      <alignment horizontal="center" wrapText="1"/>
    </xf>
    <xf numFmtId="0" fontId="17" fillId="0" borderId="0" xfId="0" applyFont="1" applyBorder="1" applyAlignment="1">
      <alignment horizontal="center" wrapText="1"/>
    </xf>
    <xf numFmtId="0" fontId="10" fillId="0" borderId="0" xfId="0" applyFont="1" applyBorder="1" applyAlignment="1">
      <alignment wrapText="1"/>
    </xf>
    <xf numFmtId="0" fontId="19" fillId="0" borderId="0" xfId="0" applyFont="1" applyBorder="1" applyAlignment="1">
      <alignment horizontal="left" wrapText="1"/>
    </xf>
    <xf numFmtId="0" fontId="1" fillId="0" borderId="13" xfId="0" applyFont="1" applyFill="1" applyBorder="1" applyAlignment="1">
      <alignment horizontal="center"/>
    </xf>
    <xf numFmtId="0" fontId="0" fillId="0" borderId="16" xfId="0" applyBorder="1" applyAlignment="1">
      <alignment/>
    </xf>
    <xf numFmtId="0" fontId="0" fillId="0" borderId="11" xfId="0" applyBorder="1" applyAlignment="1">
      <alignment/>
    </xf>
    <xf numFmtId="0" fontId="1" fillId="0" borderId="16" xfId="0" applyFont="1" applyFill="1" applyBorder="1" applyAlignment="1">
      <alignment horizontal="center"/>
    </xf>
    <xf numFmtId="0" fontId="1" fillId="0" borderId="11" xfId="0" applyFont="1" applyFill="1" applyBorder="1" applyAlignment="1">
      <alignment horizontal="center"/>
    </xf>
    <xf numFmtId="0" fontId="2" fillId="0" borderId="0" xfId="0" applyFont="1" applyAlignment="1">
      <alignment horizontal="center" wrapText="1"/>
    </xf>
    <xf numFmtId="0" fontId="1" fillId="0" borderId="10" xfId="0" applyFont="1" applyFill="1" applyBorder="1" applyAlignment="1">
      <alignment horizontal="center"/>
    </xf>
    <xf numFmtId="0" fontId="0" fillId="0" borderId="10" xfId="0" applyBorder="1" applyAlignment="1" applyProtection="1">
      <alignment horizontal="center"/>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7">
    <dxf>
      <fill>
        <patternFill>
          <bgColor indexed="42"/>
        </patternFill>
      </fill>
    </dxf>
    <dxf>
      <fill>
        <patternFill>
          <bgColor indexed="26"/>
        </patternFill>
      </fill>
    </dxf>
    <dxf>
      <fill>
        <patternFill>
          <bgColor indexed="42"/>
        </patternFill>
      </fill>
    </dxf>
    <dxf>
      <fill>
        <patternFill>
          <bgColor indexed="26"/>
        </patternFill>
      </fill>
    </dxf>
    <dxf>
      <fill>
        <patternFill>
          <bgColor indexed="26"/>
        </patternFill>
      </fill>
    </dxf>
    <dxf>
      <font>
        <b/>
        <i val="0"/>
        <color auto="1"/>
      </font>
      <fill>
        <patternFill>
          <bgColor indexed="42"/>
        </patternFill>
      </fill>
    </dxf>
    <dxf>
      <font>
        <b/>
        <i val="0"/>
        <color auto="1"/>
      </font>
      <fill>
        <patternFill>
          <bgColor rgb="FFCC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27825"/>
          <c:w val="0.8835"/>
          <c:h val="0.20425"/>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5"/>
            <c:dispEq val="0"/>
            <c:dispRSqr val="1"/>
            <c:trendlineLbl>
              <c:layout>
                <c:manualLayout>
                  <c:x val="0"/>
                  <c:y val="0"/>
                </c:manualLayout>
              </c:layout>
              <c:txPr>
                <a:bodyPr vert="horz" rot="0" anchor="ctr"/>
                <a:lstStyle/>
                <a:p>
                  <a:pPr algn="ctr">
                    <a:defRPr lang="en-US" cap="none" sz="225"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axId val="33998500"/>
        <c:axId val="37551045"/>
      </c:scatterChart>
      <c:valAx>
        <c:axId val="33998500"/>
        <c:scaling>
          <c:orientation val="minMax"/>
        </c:scaling>
        <c:axPos val="b"/>
        <c:delete val="0"/>
        <c:numFmt formatCode="General" sourceLinked="1"/>
        <c:majorTickMark val="out"/>
        <c:minorTickMark val="none"/>
        <c:tickLblPos val="nextTo"/>
        <c:spPr>
          <a:ln w="3175">
            <a:solidFill>
              <a:srgbClr val="000000"/>
            </a:solidFill>
          </a:ln>
        </c:spPr>
        <c:crossAx val="37551045"/>
        <c:crosses val="autoZero"/>
        <c:crossBetween val="midCat"/>
        <c:dispUnits/>
      </c:valAx>
      <c:valAx>
        <c:axId val="3755104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3998500"/>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5"/>
          <c:y val="0.0845"/>
          <c:w val="0.88125"/>
          <c:h val="0.5915"/>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5"/>
            <c:dispEq val="1"/>
            <c:dispRSqr val="0"/>
            <c:trendlineLbl>
              <c:layout>
                <c:manualLayout>
                  <c:x val="0"/>
                  <c:y val="0"/>
                </c:manualLayout>
              </c:layout>
              <c:txPr>
                <a:bodyPr vert="horz" rot="0" anchor="ctr"/>
                <a:lstStyle/>
                <a:p>
                  <a:pPr algn="ctr">
                    <a:defRPr lang="en-US" cap="none" sz="200"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axId val="2415086"/>
        <c:axId val="21735775"/>
      </c:scatterChart>
      <c:valAx>
        <c:axId val="2415086"/>
        <c:scaling>
          <c:orientation val="minMax"/>
        </c:scaling>
        <c:axPos val="b"/>
        <c:delete val="0"/>
        <c:numFmt formatCode="General" sourceLinked="1"/>
        <c:majorTickMark val="out"/>
        <c:minorTickMark val="none"/>
        <c:tickLblPos val="nextTo"/>
        <c:spPr>
          <a:ln w="3175">
            <a:solidFill>
              <a:srgbClr val="000000"/>
            </a:solidFill>
          </a:ln>
        </c:spPr>
        <c:crossAx val="21735775"/>
        <c:crosses val="autoZero"/>
        <c:crossBetween val="midCat"/>
        <c:dispUnits/>
      </c:valAx>
      <c:valAx>
        <c:axId val="2173577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415086"/>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Cyr"/>
          <a:ea typeface="Arial Cyr"/>
          <a:cs typeface="Arial Cyr"/>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49</xdr:row>
      <xdr:rowOff>228600</xdr:rowOff>
    </xdr:from>
    <xdr:to>
      <xdr:col>1</xdr:col>
      <xdr:colOff>6810375</xdr:colOff>
      <xdr:row>49</xdr:row>
      <xdr:rowOff>4114800</xdr:rowOff>
    </xdr:to>
    <xdr:pic>
      <xdr:nvPicPr>
        <xdr:cNvPr id="1" name="Picture 1"/>
        <xdr:cNvPicPr preferRelativeResize="1">
          <a:picLocks noChangeAspect="1"/>
        </xdr:cNvPicPr>
      </xdr:nvPicPr>
      <xdr:blipFill>
        <a:blip r:embed="rId1"/>
        <a:stretch>
          <a:fillRect/>
        </a:stretch>
      </xdr:blipFill>
      <xdr:spPr>
        <a:xfrm>
          <a:off x="800100" y="11982450"/>
          <a:ext cx="6781800" cy="3886200"/>
        </a:xfrm>
        <a:prstGeom prst="rect">
          <a:avLst/>
        </a:prstGeom>
        <a:solidFill>
          <a:srgbClr val="FFFFFF"/>
        </a:solidFill>
        <a:ln w="9525" cmpd="sng">
          <a:noFill/>
        </a:ln>
      </xdr:spPr>
    </xdr:pic>
    <xdr:clientData/>
  </xdr:twoCellAnchor>
  <xdr:twoCellAnchor>
    <xdr:from>
      <xdr:col>1</xdr:col>
      <xdr:colOff>180975</xdr:colOff>
      <xdr:row>66</xdr:row>
      <xdr:rowOff>142875</xdr:rowOff>
    </xdr:from>
    <xdr:to>
      <xdr:col>1</xdr:col>
      <xdr:colOff>6981825</xdr:colOff>
      <xdr:row>67</xdr:row>
      <xdr:rowOff>3409950</xdr:rowOff>
    </xdr:to>
    <xdr:pic>
      <xdr:nvPicPr>
        <xdr:cNvPr id="2" name="Picture 3"/>
        <xdr:cNvPicPr preferRelativeResize="1">
          <a:picLocks noChangeAspect="1"/>
        </xdr:cNvPicPr>
      </xdr:nvPicPr>
      <xdr:blipFill>
        <a:blip r:embed="rId2"/>
        <a:stretch>
          <a:fillRect/>
        </a:stretch>
      </xdr:blipFill>
      <xdr:spPr>
        <a:xfrm>
          <a:off x="962025" y="21955125"/>
          <a:ext cx="6791325" cy="3467100"/>
        </a:xfrm>
        <a:prstGeom prst="rect">
          <a:avLst/>
        </a:prstGeom>
        <a:solidFill>
          <a:srgbClr val="FFFFFF"/>
        </a:solidFill>
        <a:ln w="9525" cmpd="sng">
          <a:noFill/>
        </a:ln>
      </xdr:spPr>
    </xdr:pic>
    <xdr:clientData/>
  </xdr:twoCellAnchor>
  <xdr:twoCellAnchor>
    <xdr:from>
      <xdr:col>1</xdr:col>
      <xdr:colOff>323850</xdr:colOff>
      <xdr:row>72</xdr:row>
      <xdr:rowOff>0</xdr:rowOff>
    </xdr:from>
    <xdr:to>
      <xdr:col>1</xdr:col>
      <xdr:colOff>6276975</xdr:colOff>
      <xdr:row>74</xdr:row>
      <xdr:rowOff>142875</xdr:rowOff>
    </xdr:to>
    <xdr:pic>
      <xdr:nvPicPr>
        <xdr:cNvPr id="3" name="Picture 4"/>
        <xdr:cNvPicPr preferRelativeResize="1">
          <a:picLocks noChangeAspect="1"/>
        </xdr:cNvPicPr>
      </xdr:nvPicPr>
      <xdr:blipFill>
        <a:blip r:embed="rId3"/>
        <a:stretch>
          <a:fillRect/>
        </a:stretch>
      </xdr:blipFill>
      <xdr:spPr>
        <a:xfrm>
          <a:off x="1104900" y="26879550"/>
          <a:ext cx="5953125" cy="5543550"/>
        </a:xfrm>
        <a:prstGeom prst="rect">
          <a:avLst/>
        </a:prstGeom>
        <a:solidFill>
          <a:srgbClr val="FFFFFF"/>
        </a:solidFill>
        <a:ln w="9525" cmpd="sng">
          <a:noFill/>
        </a:ln>
      </xdr:spPr>
    </xdr:pic>
    <xdr:clientData/>
  </xdr:twoCellAnchor>
  <xdr:twoCellAnchor>
    <xdr:from>
      <xdr:col>1</xdr:col>
      <xdr:colOff>323850</xdr:colOff>
      <xdr:row>87</xdr:row>
      <xdr:rowOff>0</xdr:rowOff>
    </xdr:from>
    <xdr:to>
      <xdr:col>1</xdr:col>
      <xdr:colOff>6276975</xdr:colOff>
      <xdr:row>89</xdr:row>
      <xdr:rowOff>142875</xdr:rowOff>
    </xdr:to>
    <xdr:pic>
      <xdr:nvPicPr>
        <xdr:cNvPr id="4" name="Picture 5"/>
        <xdr:cNvPicPr preferRelativeResize="1">
          <a:picLocks noChangeAspect="1"/>
        </xdr:cNvPicPr>
      </xdr:nvPicPr>
      <xdr:blipFill>
        <a:blip r:embed="rId3"/>
        <a:stretch>
          <a:fillRect/>
        </a:stretch>
      </xdr:blipFill>
      <xdr:spPr>
        <a:xfrm>
          <a:off x="1104900" y="37299900"/>
          <a:ext cx="5953125" cy="5524500"/>
        </a:xfrm>
        <a:prstGeom prst="rect">
          <a:avLst/>
        </a:prstGeom>
        <a:solidFill>
          <a:srgbClr val="FFFFFF"/>
        </a:solidFill>
        <a:ln w="9525" cmpd="sng">
          <a:noFill/>
        </a:ln>
      </xdr:spPr>
    </xdr:pic>
    <xdr:clientData/>
  </xdr:twoCellAnchor>
  <xdr:twoCellAnchor>
    <xdr:from>
      <xdr:col>1</xdr:col>
      <xdr:colOff>0</xdr:colOff>
      <xdr:row>87</xdr:row>
      <xdr:rowOff>0</xdr:rowOff>
    </xdr:from>
    <xdr:to>
      <xdr:col>1</xdr:col>
      <xdr:colOff>6553200</xdr:colOff>
      <xdr:row>89</xdr:row>
      <xdr:rowOff>57150</xdr:rowOff>
    </xdr:to>
    <xdr:pic>
      <xdr:nvPicPr>
        <xdr:cNvPr id="5" name="Picture 6"/>
        <xdr:cNvPicPr preferRelativeResize="1">
          <a:picLocks noChangeAspect="1"/>
        </xdr:cNvPicPr>
      </xdr:nvPicPr>
      <xdr:blipFill>
        <a:blip r:embed="rId4"/>
        <a:stretch>
          <a:fillRect/>
        </a:stretch>
      </xdr:blipFill>
      <xdr:spPr>
        <a:xfrm>
          <a:off x="781050" y="37299900"/>
          <a:ext cx="6553200" cy="5438775"/>
        </a:xfrm>
        <a:prstGeom prst="rect">
          <a:avLst/>
        </a:prstGeom>
        <a:solidFill>
          <a:srgbClr val="FFFFFF"/>
        </a:solidFill>
        <a:ln w="9525" cmpd="sng">
          <a:noFill/>
        </a:ln>
      </xdr:spPr>
    </xdr:pic>
    <xdr:clientData/>
  </xdr:twoCellAnchor>
  <xdr:twoCellAnchor>
    <xdr:from>
      <xdr:col>1</xdr:col>
      <xdr:colOff>1171575</xdr:colOff>
      <xdr:row>105</xdr:row>
      <xdr:rowOff>104775</xdr:rowOff>
    </xdr:from>
    <xdr:to>
      <xdr:col>1</xdr:col>
      <xdr:colOff>5800725</xdr:colOff>
      <xdr:row>106</xdr:row>
      <xdr:rowOff>200025</xdr:rowOff>
    </xdr:to>
    <xdr:pic>
      <xdr:nvPicPr>
        <xdr:cNvPr id="6" name="Picture 7"/>
        <xdr:cNvPicPr preferRelativeResize="1">
          <a:picLocks noChangeAspect="1"/>
        </xdr:cNvPicPr>
      </xdr:nvPicPr>
      <xdr:blipFill>
        <a:blip r:embed="rId5"/>
        <a:stretch>
          <a:fillRect/>
        </a:stretch>
      </xdr:blipFill>
      <xdr:spPr>
        <a:xfrm>
          <a:off x="1952625" y="47548800"/>
          <a:ext cx="4629150" cy="5295900"/>
        </a:xfrm>
        <a:prstGeom prst="rect">
          <a:avLst/>
        </a:prstGeom>
        <a:solidFill>
          <a:srgbClr val="FFFFFF"/>
        </a:solidFill>
        <a:ln w="9525" cmpd="sng">
          <a:noFill/>
        </a:ln>
      </xdr:spPr>
    </xdr:pic>
    <xdr:clientData/>
  </xdr:twoCellAnchor>
  <xdr:twoCellAnchor>
    <xdr:from>
      <xdr:col>1</xdr:col>
      <xdr:colOff>971550</xdr:colOff>
      <xdr:row>120</xdr:row>
      <xdr:rowOff>190500</xdr:rowOff>
    </xdr:from>
    <xdr:to>
      <xdr:col>1</xdr:col>
      <xdr:colOff>6134100</xdr:colOff>
      <xdr:row>121</xdr:row>
      <xdr:rowOff>5019675</xdr:rowOff>
    </xdr:to>
    <xdr:pic>
      <xdr:nvPicPr>
        <xdr:cNvPr id="7" name="Picture 8"/>
        <xdr:cNvPicPr preferRelativeResize="1">
          <a:picLocks noChangeAspect="1"/>
        </xdr:cNvPicPr>
      </xdr:nvPicPr>
      <xdr:blipFill>
        <a:blip r:embed="rId6"/>
        <a:stretch>
          <a:fillRect/>
        </a:stretch>
      </xdr:blipFill>
      <xdr:spPr>
        <a:xfrm>
          <a:off x="1752600" y="57359550"/>
          <a:ext cx="5162550" cy="5029200"/>
        </a:xfrm>
        <a:prstGeom prst="rect">
          <a:avLst/>
        </a:prstGeom>
        <a:solidFill>
          <a:srgbClr val="FFFFFF"/>
        </a:solidFill>
        <a:ln w="9525" cmpd="sng">
          <a:noFill/>
        </a:ln>
      </xdr:spPr>
    </xdr:pic>
    <xdr:clientData/>
  </xdr:twoCellAnchor>
  <xdr:twoCellAnchor>
    <xdr:from>
      <xdr:col>1</xdr:col>
      <xdr:colOff>47625</xdr:colOff>
      <xdr:row>131</xdr:row>
      <xdr:rowOff>295275</xdr:rowOff>
    </xdr:from>
    <xdr:to>
      <xdr:col>1</xdr:col>
      <xdr:colOff>6848475</xdr:colOff>
      <xdr:row>131</xdr:row>
      <xdr:rowOff>3771900</xdr:rowOff>
    </xdr:to>
    <xdr:pic>
      <xdr:nvPicPr>
        <xdr:cNvPr id="8" name="Picture 11"/>
        <xdr:cNvPicPr preferRelativeResize="1">
          <a:picLocks noChangeAspect="1"/>
        </xdr:cNvPicPr>
      </xdr:nvPicPr>
      <xdr:blipFill>
        <a:blip r:embed="rId7"/>
        <a:stretch>
          <a:fillRect/>
        </a:stretch>
      </xdr:blipFill>
      <xdr:spPr>
        <a:xfrm>
          <a:off x="828675" y="65065275"/>
          <a:ext cx="6810375" cy="3476625"/>
        </a:xfrm>
        <a:prstGeom prst="rect">
          <a:avLst/>
        </a:prstGeom>
        <a:solidFill>
          <a:srgbClr val="FFFFFF"/>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333375</xdr:colOff>
      <xdr:row>3</xdr:row>
      <xdr:rowOff>123825</xdr:rowOff>
    </xdr:from>
    <xdr:to>
      <xdr:col>21</xdr:col>
      <xdr:colOff>171450</xdr:colOff>
      <xdr:row>3</xdr:row>
      <xdr:rowOff>628650</xdr:rowOff>
    </xdr:to>
    <xdr:sp macro="[0]!Поле3_Щелкнуть">
      <xdr:nvSpPr>
        <xdr:cNvPr id="1" name="Text Box 6"/>
        <xdr:cNvSpPr txBox="1">
          <a:spLocks noChangeArrowheads="1"/>
        </xdr:cNvSpPr>
      </xdr:nvSpPr>
      <xdr:spPr>
        <a:xfrm>
          <a:off x="8648700" y="742950"/>
          <a:ext cx="2543175" cy="504825"/>
        </a:xfrm>
        <a:prstGeom prst="rect">
          <a:avLst/>
        </a:prstGeom>
        <a:solidFill>
          <a:srgbClr val="FFFFFF"/>
        </a:solidFill>
        <a:ln w="9525" cmpd="sng">
          <a:noFill/>
        </a:ln>
      </xdr:spPr>
      <xdr:txBody>
        <a:bodyPr vertOverflow="clip" wrap="square" lIns="27432" tIns="22860" rIns="0" bIns="0"/>
        <a:p>
          <a:pPr algn="l">
            <a:defRPr/>
          </a:pPr>
          <a:r>
            <a:rPr lang="en-US" cap="none" sz="1000" b="0" i="1" u="none" baseline="0">
              <a:solidFill>
                <a:srgbClr val="800080"/>
              </a:solidFill>
              <a:latin typeface="Arial Cyr"/>
              <a:ea typeface="Arial Cyr"/>
              <a:cs typeface="Arial Cyr"/>
            </a:rPr>
            <a:t>Если Вы вставляете данные с другим разделителем дробной и целой частей числа...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209550</xdr:colOff>
      <xdr:row>12</xdr:row>
      <xdr:rowOff>95250</xdr:rowOff>
    </xdr:from>
    <xdr:to>
      <xdr:col>15</xdr:col>
      <xdr:colOff>428625</xdr:colOff>
      <xdr:row>15</xdr:row>
      <xdr:rowOff>85725</xdr:rowOff>
    </xdr:to>
    <xdr:sp macro="[0]!Поле3_Щелкнуть">
      <xdr:nvSpPr>
        <xdr:cNvPr id="1" name="Text Box 1030"/>
        <xdr:cNvSpPr txBox="1">
          <a:spLocks noChangeArrowheads="1"/>
        </xdr:cNvSpPr>
      </xdr:nvSpPr>
      <xdr:spPr>
        <a:xfrm>
          <a:off x="4781550" y="2105025"/>
          <a:ext cx="2771775" cy="476250"/>
        </a:xfrm>
        <a:prstGeom prst="rect">
          <a:avLst/>
        </a:prstGeom>
        <a:solidFill>
          <a:srgbClr val="FFFFFF"/>
        </a:solidFill>
        <a:ln w="9525" cmpd="sng">
          <a:noFill/>
        </a:ln>
      </xdr:spPr>
      <xdr:txBody>
        <a:bodyPr vertOverflow="clip" wrap="square" lIns="27432" tIns="22860" rIns="0" bIns="0"/>
        <a:p>
          <a:pPr algn="l">
            <a:defRPr/>
          </a:pPr>
          <a:r>
            <a:rPr lang="en-US" cap="none" sz="1000" b="0" i="1" u="none" baseline="0">
              <a:solidFill>
                <a:srgbClr val="800080"/>
              </a:solidFill>
              <a:latin typeface="Arial Cyr"/>
              <a:ea typeface="Arial Cyr"/>
              <a:cs typeface="Arial Cyr"/>
            </a:rPr>
            <a:t>Если Вы вставляете данные с другим разделителем дробной и целой частей числа...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3</xdr:row>
      <xdr:rowOff>104775</xdr:rowOff>
    </xdr:from>
    <xdr:to>
      <xdr:col>10</xdr:col>
      <xdr:colOff>304800</xdr:colOff>
      <xdr:row>5</xdr:row>
      <xdr:rowOff>114300</xdr:rowOff>
    </xdr:to>
    <xdr:graphicFrame>
      <xdr:nvGraphicFramePr>
        <xdr:cNvPr id="1" name="Диаграмма 4"/>
        <xdr:cNvGraphicFramePr/>
      </xdr:nvGraphicFramePr>
      <xdr:xfrm>
        <a:off x="6000750" y="619125"/>
        <a:ext cx="971550" cy="352425"/>
      </xdr:xfrm>
      <a:graphic>
        <a:graphicData uri="http://schemas.openxmlformats.org/drawingml/2006/chart">
          <c:chart xmlns:c="http://schemas.openxmlformats.org/drawingml/2006/chart" r:id="rId1"/>
        </a:graphicData>
      </a:graphic>
    </xdr:graphicFrame>
    <xdr:clientData/>
  </xdr:twoCellAnchor>
  <xdr:twoCellAnchor>
    <xdr:from>
      <xdr:col>8</xdr:col>
      <xdr:colOff>342900</xdr:colOff>
      <xdr:row>0</xdr:row>
      <xdr:rowOff>47625</xdr:rowOff>
    </xdr:from>
    <xdr:to>
      <xdr:col>9</xdr:col>
      <xdr:colOff>533400</xdr:colOff>
      <xdr:row>3</xdr:row>
      <xdr:rowOff>38100</xdr:rowOff>
    </xdr:to>
    <xdr:graphicFrame>
      <xdr:nvGraphicFramePr>
        <xdr:cNvPr id="2" name="Диаграмма 5"/>
        <xdr:cNvGraphicFramePr/>
      </xdr:nvGraphicFramePr>
      <xdr:xfrm>
        <a:off x="5676900" y="47625"/>
        <a:ext cx="857250" cy="5048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kd@npods.ru"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
  <dimension ref="B3:D149"/>
  <sheetViews>
    <sheetView showGridLines="0" zoomScalePageLayoutView="0" workbookViewId="0" topLeftCell="A129">
      <selection activeCell="B134" sqref="B134"/>
    </sheetView>
  </sheetViews>
  <sheetFormatPr defaultColWidth="9.00390625" defaultRowHeight="12.75"/>
  <cols>
    <col min="1" max="1" width="10.25390625" style="9" customWidth="1"/>
    <col min="2" max="2" width="99.75390625" style="61" customWidth="1"/>
    <col min="3" max="16384" width="9.125" style="9" customWidth="1"/>
  </cols>
  <sheetData>
    <row r="3" ht="18.75">
      <c r="B3" s="49" t="s">
        <v>50</v>
      </c>
    </row>
    <row r="4" ht="18.75">
      <c r="B4" s="49" t="s">
        <v>51</v>
      </c>
    </row>
    <row r="5" ht="15.75">
      <c r="B5" s="50"/>
    </row>
    <row r="6" ht="15.75">
      <c r="B6" s="51" t="s">
        <v>52</v>
      </c>
    </row>
    <row r="7" ht="15.75">
      <c r="B7" s="50"/>
    </row>
    <row r="8" spans="2:3" ht="15.75">
      <c r="B8" s="50"/>
      <c r="C8" s="52"/>
    </row>
    <row r="9" spans="2:3" ht="15.75">
      <c r="B9" s="50"/>
      <c r="C9" s="53"/>
    </row>
    <row r="10" spans="2:3" ht="15.75">
      <c r="B10" s="51" t="s">
        <v>53</v>
      </c>
      <c r="C10" s="52"/>
    </row>
    <row r="11" spans="2:3" ht="15.75">
      <c r="B11" s="51"/>
      <c r="C11" s="54"/>
    </row>
    <row r="12" spans="2:3" ht="15.75">
      <c r="B12" s="55" t="s">
        <v>54</v>
      </c>
      <c r="C12" s="54"/>
    </row>
    <row r="13" spans="2:3" ht="15.75">
      <c r="B13" s="55" t="s">
        <v>55</v>
      </c>
      <c r="C13" s="57"/>
    </row>
    <row r="14" spans="2:3" ht="15.75">
      <c r="B14" s="55"/>
      <c r="C14" s="58"/>
    </row>
    <row r="15" spans="2:3" ht="15.75">
      <c r="B15" s="55"/>
      <c r="C15" s="58"/>
    </row>
    <row r="16" spans="2:3" ht="15.75">
      <c r="B16" s="55" t="s">
        <v>56</v>
      </c>
      <c r="C16" s="57"/>
    </row>
    <row r="17" spans="2:3" ht="15.75">
      <c r="B17" s="59" t="s">
        <v>57</v>
      </c>
      <c r="C17" s="57"/>
    </row>
    <row r="18" spans="2:3" ht="15.75">
      <c r="B18" s="59" t="s">
        <v>58</v>
      </c>
      <c r="C18" s="54"/>
    </row>
    <row r="19" spans="2:3" ht="15.75">
      <c r="B19" s="59" t="s">
        <v>59</v>
      </c>
      <c r="C19" s="54"/>
    </row>
    <row r="20" spans="2:3" ht="15.75">
      <c r="B20" s="59" t="s">
        <v>60</v>
      </c>
      <c r="C20" s="54"/>
    </row>
    <row r="21" spans="2:3" ht="15.75">
      <c r="B21" s="59"/>
      <c r="C21" s="58"/>
    </row>
    <row r="22" spans="2:3" ht="15.75">
      <c r="B22" s="55" t="s">
        <v>61</v>
      </c>
      <c r="C22" s="58"/>
    </row>
    <row r="23" spans="2:3" ht="15.75">
      <c r="B23" s="55" t="s">
        <v>62</v>
      </c>
      <c r="C23" s="57"/>
    </row>
    <row r="24" spans="2:3" ht="15.75">
      <c r="B24" s="51"/>
      <c r="C24" s="57"/>
    </row>
    <row r="25" spans="3:4" ht="15.75">
      <c r="C25" s="57"/>
      <c r="D25" s="57"/>
    </row>
    <row r="26" spans="2:4" ht="18.75">
      <c r="B26" s="49" t="s">
        <v>54</v>
      </c>
      <c r="C26" s="62"/>
      <c r="D26" s="57"/>
    </row>
    <row r="27" spans="2:4" ht="18.75">
      <c r="B27" s="49"/>
      <c r="C27" s="62"/>
      <c r="D27" s="57"/>
    </row>
    <row r="28" spans="2:3" ht="47.25">
      <c r="B28" s="63" t="s">
        <v>63</v>
      </c>
      <c r="C28" s="60"/>
    </row>
    <row r="29" spans="2:3" ht="15.75">
      <c r="B29" s="63"/>
      <c r="C29" s="60"/>
    </row>
    <row r="30" spans="2:3" ht="31.5">
      <c r="B30" s="63" t="s">
        <v>64</v>
      </c>
      <c r="C30" s="57"/>
    </row>
    <row r="31" spans="2:3" ht="15.75">
      <c r="B31" s="51"/>
      <c r="C31" s="57"/>
    </row>
    <row r="32" spans="2:4" ht="15.75">
      <c r="B32" s="63"/>
      <c r="C32" s="62"/>
      <c r="D32" s="57"/>
    </row>
    <row r="33" spans="2:3" ht="31.5">
      <c r="B33" s="63" t="s">
        <v>65</v>
      </c>
      <c r="C33" s="60"/>
    </row>
    <row r="34" spans="2:3" ht="15.75">
      <c r="B34" s="65" t="s">
        <v>66</v>
      </c>
      <c r="C34" s="60"/>
    </row>
    <row r="35" spans="2:3" ht="15.75">
      <c r="B35" s="65" t="s">
        <v>67</v>
      </c>
      <c r="C35" s="57"/>
    </row>
    <row r="36" spans="2:3" ht="15.75">
      <c r="B36" s="65" t="s">
        <v>68</v>
      </c>
      <c r="C36" s="58"/>
    </row>
    <row r="37" spans="2:3" ht="15.75">
      <c r="B37" s="65" t="s">
        <v>69</v>
      </c>
      <c r="C37" s="57"/>
    </row>
    <row r="38" spans="2:4" ht="15.75">
      <c r="B38" s="63"/>
      <c r="C38" s="62"/>
      <c r="D38" s="57"/>
    </row>
    <row r="39" spans="2:3" ht="47.25">
      <c r="B39" s="63" t="s">
        <v>126</v>
      </c>
      <c r="C39" s="66"/>
    </row>
    <row r="40" spans="2:3" ht="15.75">
      <c r="B40" s="63"/>
      <c r="C40" s="54"/>
    </row>
    <row r="41" spans="2:3" ht="15.75">
      <c r="B41" s="63" t="s">
        <v>70</v>
      </c>
      <c r="C41" s="54"/>
    </row>
    <row r="42" spans="2:3" ht="15.75">
      <c r="B42" s="63"/>
      <c r="C42" s="56"/>
    </row>
    <row r="43" spans="2:3" ht="18.75">
      <c r="B43" s="49" t="s">
        <v>55</v>
      </c>
      <c r="C43" s="57"/>
    </row>
    <row r="44" spans="2:3" ht="18.75">
      <c r="B44" s="49"/>
      <c r="C44" s="58"/>
    </row>
    <row r="45" spans="2:3" ht="15.75">
      <c r="B45" s="65" t="s">
        <v>71</v>
      </c>
      <c r="C45" s="58"/>
    </row>
    <row r="46" spans="2:3" ht="31.5">
      <c r="B46" s="65" t="s">
        <v>72</v>
      </c>
      <c r="C46" s="57"/>
    </row>
    <row r="47" spans="2:3" ht="15.75">
      <c r="B47" s="65" t="s">
        <v>73</v>
      </c>
      <c r="C47" s="57"/>
    </row>
    <row r="48" spans="2:3" ht="31.5">
      <c r="B48" s="65" t="s">
        <v>74</v>
      </c>
      <c r="C48" s="54"/>
    </row>
    <row r="49" spans="2:3" ht="31.5">
      <c r="B49" s="65" t="s">
        <v>75</v>
      </c>
      <c r="C49" s="54"/>
    </row>
    <row r="50" spans="2:3" ht="326.25" customHeight="1">
      <c r="B50" s="65"/>
      <c r="C50" s="54"/>
    </row>
    <row r="51" spans="2:3" ht="15.75">
      <c r="B51" s="67" t="s">
        <v>76</v>
      </c>
      <c r="C51" s="60"/>
    </row>
    <row r="52" spans="2:3" ht="15.75">
      <c r="B52" s="67" t="s">
        <v>77</v>
      </c>
      <c r="C52" s="57"/>
    </row>
    <row r="53" spans="2:3" ht="15.75">
      <c r="B53" s="68"/>
      <c r="C53" s="57"/>
    </row>
    <row r="54" spans="2:3" ht="18.75">
      <c r="B54" s="49" t="s">
        <v>78</v>
      </c>
      <c r="C54" s="58"/>
    </row>
    <row r="55" spans="2:3" ht="18.75">
      <c r="B55" s="49" t="s">
        <v>79</v>
      </c>
      <c r="C55" s="58"/>
    </row>
    <row r="56" spans="2:3" ht="15.75">
      <c r="B56" s="50"/>
      <c r="C56" s="57"/>
    </row>
    <row r="57" spans="2:3" ht="31.5">
      <c r="B57" s="63" t="s">
        <v>80</v>
      </c>
      <c r="C57" s="57"/>
    </row>
    <row r="58" spans="2:4" ht="15.75">
      <c r="B58" s="67"/>
      <c r="C58" s="57"/>
      <c r="D58" s="57"/>
    </row>
    <row r="59" spans="2:4" ht="18.75">
      <c r="B59" s="49" t="s">
        <v>81</v>
      </c>
      <c r="C59" s="62"/>
      <c r="D59" s="57"/>
    </row>
    <row r="60" spans="2:4" ht="15.75">
      <c r="B60" s="67"/>
      <c r="C60" s="62"/>
      <c r="D60" s="57"/>
    </row>
    <row r="61" spans="2:3" ht="31.5">
      <c r="B61" s="63" t="s">
        <v>82</v>
      </c>
      <c r="C61" s="60"/>
    </row>
    <row r="62" spans="2:3" ht="31.5">
      <c r="B62" s="65" t="s">
        <v>83</v>
      </c>
      <c r="C62" s="60"/>
    </row>
    <row r="63" spans="2:3" ht="31.5">
      <c r="B63" s="65" t="s">
        <v>84</v>
      </c>
      <c r="C63" s="57"/>
    </row>
    <row r="64" spans="2:3" ht="63">
      <c r="B64" s="65" t="s">
        <v>85</v>
      </c>
      <c r="C64" s="57"/>
    </row>
    <row r="65" spans="2:3" ht="31.5">
      <c r="B65" s="65" t="s">
        <v>86</v>
      </c>
      <c r="C65" s="58"/>
    </row>
    <row r="66" spans="2:3" ht="94.5">
      <c r="B66" s="69" t="s">
        <v>87</v>
      </c>
      <c r="C66" s="58"/>
    </row>
    <row r="67" ht="15.75">
      <c r="C67" s="57"/>
    </row>
    <row r="68" spans="2:3" ht="273" customHeight="1">
      <c r="B68" s="69"/>
      <c r="C68" s="57"/>
    </row>
    <row r="69" spans="2:4" ht="15.75">
      <c r="B69" s="51" t="s">
        <v>88</v>
      </c>
      <c r="C69" s="57"/>
      <c r="D69" s="57"/>
    </row>
    <row r="70" spans="2:4" ht="15.75">
      <c r="B70" s="51"/>
      <c r="C70" s="62"/>
      <c r="D70" s="57"/>
    </row>
    <row r="71" spans="2:4" ht="63">
      <c r="B71" s="65" t="s">
        <v>89</v>
      </c>
      <c r="C71" s="62"/>
      <c r="D71" s="57"/>
    </row>
    <row r="72" spans="2:3" ht="15.75">
      <c r="B72" s="65"/>
      <c r="C72" s="60"/>
    </row>
    <row r="73" ht="409.5" customHeight="1">
      <c r="C73" s="60"/>
    </row>
    <row r="74" spans="2:3" ht="15.75">
      <c r="B74" s="51" t="s">
        <v>90</v>
      </c>
      <c r="C74" s="57"/>
    </row>
    <row r="75" spans="2:3" ht="15.75">
      <c r="B75" s="65"/>
      <c r="C75" s="57"/>
    </row>
    <row r="76" spans="2:3" ht="15.75">
      <c r="B76" s="51" t="s">
        <v>90</v>
      </c>
      <c r="C76" s="57"/>
    </row>
    <row r="77" spans="2:3" ht="14.25">
      <c r="B77" s="67"/>
      <c r="C77" s="58"/>
    </row>
    <row r="78" spans="2:3" ht="18.75">
      <c r="B78" s="49" t="s">
        <v>58</v>
      </c>
      <c r="C78" s="58"/>
    </row>
    <row r="79" spans="2:3" ht="15.75">
      <c r="B79" s="67"/>
      <c r="C79" s="57"/>
    </row>
    <row r="80" spans="2:3" ht="31.5">
      <c r="B80" s="63" t="s">
        <v>91</v>
      </c>
      <c r="C80" s="57"/>
    </row>
    <row r="81" spans="2:4" ht="15.75">
      <c r="B81" s="65" t="s">
        <v>92</v>
      </c>
      <c r="C81" s="57"/>
      <c r="D81" s="57"/>
    </row>
    <row r="82" spans="2:4" ht="31.5">
      <c r="B82" s="65" t="s">
        <v>93</v>
      </c>
      <c r="C82" s="62"/>
      <c r="D82" s="57"/>
    </row>
    <row r="83" spans="2:4" ht="63">
      <c r="B83" s="65" t="s">
        <v>94</v>
      </c>
      <c r="C83" s="62"/>
      <c r="D83" s="57"/>
    </row>
    <row r="84" spans="2:3" ht="31.5">
      <c r="B84" s="65" t="s">
        <v>95</v>
      </c>
      <c r="C84" s="60"/>
    </row>
    <row r="85" spans="2:3" ht="94.5">
      <c r="B85" s="69" t="s">
        <v>87</v>
      </c>
      <c r="C85" s="60"/>
    </row>
    <row r="86" spans="2:3" ht="31.5">
      <c r="B86" s="65" t="s">
        <v>96</v>
      </c>
      <c r="C86" s="57"/>
    </row>
    <row r="87" spans="2:3" ht="15.75">
      <c r="B87" s="65"/>
      <c r="C87" s="57"/>
    </row>
    <row r="88" ht="409.5" customHeight="1"/>
    <row r="89" ht="14.25">
      <c r="B89" s="67" t="s">
        <v>97</v>
      </c>
    </row>
    <row r="90" ht="14.25">
      <c r="B90" s="67"/>
    </row>
    <row r="91" ht="14.25">
      <c r="B91" s="67" t="s">
        <v>97</v>
      </c>
    </row>
    <row r="92" ht="14.25">
      <c r="B92" s="67"/>
    </row>
    <row r="93" ht="18.75">
      <c r="B93" s="49" t="s">
        <v>98</v>
      </c>
    </row>
    <row r="94" ht="14.25">
      <c r="B94" s="67"/>
    </row>
    <row r="95" ht="15.75">
      <c r="B95" s="63" t="s">
        <v>99</v>
      </c>
    </row>
    <row r="96" ht="15.75">
      <c r="B96" s="63" t="s">
        <v>100</v>
      </c>
    </row>
    <row r="97" ht="15.75">
      <c r="B97" s="65" t="s">
        <v>101</v>
      </c>
    </row>
    <row r="98" ht="15.75">
      <c r="B98" s="65" t="s">
        <v>102</v>
      </c>
    </row>
    <row r="99" ht="15.75">
      <c r="B99" s="65" t="s">
        <v>103</v>
      </c>
    </row>
    <row r="100" ht="31.5">
      <c r="B100" s="65" t="s">
        <v>104</v>
      </c>
    </row>
    <row r="101" ht="94.5">
      <c r="B101" s="69" t="s">
        <v>87</v>
      </c>
    </row>
    <row r="102" ht="15.75">
      <c r="B102" s="70"/>
    </row>
    <row r="103" ht="15.75">
      <c r="B103" s="65"/>
    </row>
    <row r="104" ht="47.25">
      <c r="B104" s="65" t="s">
        <v>105</v>
      </c>
    </row>
    <row r="105" ht="15.75">
      <c r="B105" s="65"/>
    </row>
    <row r="106" ht="409.5" customHeight="1">
      <c r="B106" s="65"/>
    </row>
    <row r="107" ht="25.5" customHeight="1"/>
    <row r="108" ht="14.25">
      <c r="B108" s="67" t="s">
        <v>106</v>
      </c>
    </row>
    <row r="109" ht="18.75">
      <c r="B109" s="49" t="s">
        <v>60</v>
      </c>
    </row>
    <row r="110" ht="14.25">
      <c r="B110" s="67"/>
    </row>
    <row r="111" ht="15.75">
      <c r="B111" s="63" t="s">
        <v>107</v>
      </c>
    </row>
    <row r="112" ht="15.75">
      <c r="B112" s="63" t="s">
        <v>108</v>
      </c>
    </row>
    <row r="113" ht="15.75">
      <c r="B113" s="65" t="s">
        <v>109</v>
      </c>
    </row>
    <row r="114" ht="15.75">
      <c r="B114" s="65" t="s">
        <v>110</v>
      </c>
    </row>
    <row r="115" ht="15.75">
      <c r="B115" s="65" t="s">
        <v>111</v>
      </c>
    </row>
    <row r="116" ht="31.5">
      <c r="B116" s="65" t="s">
        <v>112</v>
      </c>
    </row>
    <row r="117" ht="94.5">
      <c r="B117" s="69" t="s">
        <v>87</v>
      </c>
    </row>
    <row r="118" ht="15.75">
      <c r="B118" s="70"/>
    </row>
    <row r="119" ht="15.75">
      <c r="B119" s="70"/>
    </row>
    <row r="120" ht="47.25">
      <c r="B120" s="65" t="s">
        <v>113</v>
      </c>
    </row>
    <row r="121" ht="15.75">
      <c r="B121" s="65"/>
    </row>
    <row r="122" ht="409.5" customHeight="1"/>
    <row r="123" ht="15.75">
      <c r="B123" s="51" t="s">
        <v>114</v>
      </c>
    </row>
    <row r="124" ht="15.75">
      <c r="B124" s="65"/>
    </row>
    <row r="125" ht="13.5" customHeight="1"/>
    <row r="126" ht="13.5" customHeight="1">
      <c r="B126" s="67"/>
    </row>
    <row r="127" ht="14.25">
      <c r="B127" s="67" t="s">
        <v>115</v>
      </c>
    </row>
    <row r="128" ht="15.75">
      <c r="B128" s="65"/>
    </row>
    <row r="129" ht="18.75">
      <c r="B129" s="49" t="s">
        <v>116</v>
      </c>
    </row>
    <row r="130" ht="18.75">
      <c r="B130" s="49"/>
    </row>
    <row r="131" ht="47.25">
      <c r="B131" s="63" t="s">
        <v>127</v>
      </c>
    </row>
    <row r="132" ht="309" customHeight="1"/>
    <row r="133" ht="15.75">
      <c r="B133" s="51" t="s">
        <v>128</v>
      </c>
    </row>
    <row r="134" ht="18.75">
      <c r="B134" s="64"/>
    </row>
    <row r="135" ht="18.75">
      <c r="B135" s="49" t="s">
        <v>62</v>
      </c>
    </row>
    <row r="136" ht="15.75">
      <c r="B136" s="50"/>
    </row>
    <row r="137" ht="15.75">
      <c r="B137" s="63" t="s">
        <v>117</v>
      </c>
    </row>
    <row r="138" ht="31.5">
      <c r="B138" s="59" t="s">
        <v>118</v>
      </c>
    </row>
    <row r="139" ht="31.5">
      <c r="B139" s="59" t="s">
        <v>119</v>
      </c>
    </row>
    <row r="140" ht="15.75">
      <c r="B140" s="65"/>
    </row>
    <row r="141" ht="15.75">
      <c r="B141" s="63"/>
    </row>
    <row r="142" ht="12.75">
      <c r="B142" s="9" t="s">
        <v>120</v>
      </c>
    </row>
    <row r="143" ht="15.75">
      <c r="B143" s="65"/>
    </row>
    <row r="144" ht="15.75">
      <c r="B144" s="65"/>
    </row>
    <row r="145" ht="15.75">
      <c r="B145" s="65"/>
    </row>
    <row r="146" ht="15.75">
      <c r="B146" s="65"/>
    </row>
    <row r="147" ht="15.75">
      <c r="B147" s="65"/>
    </row>
    <row r="148" ht="15.75">
      <c r="B148" s="65"/>
    </row>
    <row r="149" ht="15.75">
      <c r="B149" s="65"/>
    </row>
  </sheetData>
  <sheetProtection/>
  <hyperlinks>
    <hyperlink ref="B142" r:id="rId1" display="mailto:ckd@npods.ru"/>
  </hyperlinks>
  <printOptions/>
  <pageMargins left="0.75" right="0.75" top="1" bottom="1" header="0.5" footer="0.5"/>
  <pageSetup horizontalDpi="300" verticalDpi="300" orientation="portrait" paperSize="9" r:id="rId3"/>
  <drawing r:id="rId2"/>
</worksheet>
</file>

<file path=xl/worksheets/sheet2.xml><?xml version="1.0" encoding="utf-8"?>
<worksheet xmlns="http://schemas.openxmlformats.org/spreadsheetml/2006/main" xmlns:r="http://schemas.openxmlformats.org/officeDocument/2006/relationships">
  <sheetPr codeName="Лист1"/>
  <dimension ref="B1:T43"/>
  <sheetViews>
    <sheetView zoomScalePageLayoutView="0" workbookViewId="0" topLeftCell="A1">
      <selection activeCell="I7" sqref="I7:I8"/>
    </sheetView>
  </sheetViews>
  <sheetFormatPr defaultColWidth="9.00390625" defaultRowHeight="12.75"/>
  <cols>
    <col min="1" max="1" width="2.125" style="0" customWidth="1"/>
    <col min="2" max="2" width="6.125" style="0" customWidth="1"/>
    <col min="3" max="3" width="15.375" style="0" customWidth="1"/>
    <col min="4" max="4" width="15.625" style="0" customWidth="1"/>
    <col min="5" max="5" width="4.00390625" style="0" customWidth="1"/>
    <col min="6" max="6" width="4.875" style="0" customWidth="1"/>
    <col min="7" max="7" width="4.625" style="0" customWidth="1"/>
    <col min="8" max="8" width="3.375" style="0" customWidth="1"/>
    <col min="9" max="20" width="6.625" style="0" customWidth="1"/>
  </cols>
  <sheetData>
    <row r="1" ht="19.5" customHeight="1">
      <c r="D1" s="12" t="s">
        <v>19</v>
      </c>
    </row>
    <row r="2" ht="13.5" customHeight="1">
      <c r="D2" s="16"/>
    </row>
    <row r="3" spans="2:14" ht="15.75" customHeight="1" thickBot="1">
      <c r="B3" s="39" t="s">
        <v>38</v>
      </c>
      <c r="C3" s="39"/>
      <c r="D3" s="39"/>
      <c r="E3" s="39"/>
      <c r="F3" s="39"/>
      <c r="G3" s="39"/>
      <c r="H3" s="34" t="s">
        <v>43</v>
      </c>
      <c r="J3" s="37"/>
      <c r="K3" s="37"/>
      <c r="L3" s="37"/>
      <c r="M3" s="37"/>
      <c r="N3" s="38"/>
    </row>
    <row r="4" spans="2:13" ht="57.75" customHeight="1" thickBot="1">
      <c r="B4" s="9"/>
      <c r="C4" s="42" t="str">
        <f>IF(Рабочий!F40=1,"Концентрация антител в калибраторе, МЕ/мл","Концентрация антител в калибраторе, мМЕ/мл")</f>
        <v>Концентрация антител в калибраторе, МЕ/мл</v>
      </c>
      <c r="D4" s="46" t="s">
        <v>35</v>
      </c>
      <c r="I4" s="35"/>
      <c r="J4" s="35"/>
      <c r="K4" s="35"/>
      <c r="L4" s="35"/>
      <c r="M4" s="35"/>
    </row>
    <row r="5" spans="2:20" ht="13.5" thickBot="1">
      <c r="B5" s="9"/>
      <c r="C5" s="31"/>
      <c r="D5" s="31"/>
      <c r="H5" s="71" t="s">
        <v>3</v>
      </c>
      <c r="I5" s="72"/>
      <c r="J5" s="72"/>
      <c r="K5" s="72"/>
      <c r="L5" s="72"/>
      <c r="M5" s="72"/>
      <c r="N5" s="72"/>
      <c r="O5" s="72"/>
      <c r="P5" s="72"/>
      <c r="Q5" s="72"/>
      <c r="R5" s="72"/>
      <c r="S5" s="72"/>
      <c r="T5" s="73"/>
    </row>
    <row r="6" spans="2:20" ht="13.5" thickBot="1">
      <c r="B6" s="9"/>
      <c r="C6" s="31"/>
      <c r="D6" s="31"/>
      <c r="H6" s="2"/>
      <c r="I6" s="24">
        <v>1</v>
      </c>
      <c r="J6" s="24">
        <v>2</v>
      </c>
      <c r="K6" s="24">
        <v>3</v>
      </c>
      <c r="L6" s="24">
        <v>4</v>
      </c>
      <c r="M6" s="24">
        <v>5</v>
      </c>
      <c r="N6" s="24">
        <v>6</v>
      </c>
      <c r="O6" s="24">
        <v>7</v>
      </c>
      <c r="P6" s="24">
        <v>8</v>
      </c>
      <c r="Q6" s="24">
        <v>9</v>
      </c>
      <c r="R6" s="24">
        <v>10</v>
      </c>
      <c r="S6" s="24">
        <v>11</v>
      </c>
      <c r="T6" s="24">
        <v>12</v>
      </c>
    </row>
    <row r="7" spans="2:20" ht="13.5" thickBot="1">
      <c r="B7" s="9"/>
      <c r="C7" s="31"/>
      <c r="D7" s="31"/>
      <c r="H7" s="23" t="s">
        <v>8</v>
      </c>
      <c r="I7" s="2"/>
      <c r="J7" s="2"/>
      <c r="K7" s="2"/>
      <c r="L7" s="2"/>
      <c r="M7" s="2"/>
      <c r="N7" s="2"/>
      <c r="O7" s="2"/>
      <c r="P7" s="2"/>
      <c r="Q7" s="2"/>
      <c r="R7" s="2"/>
      <c r="S7" s="2"/>
      <c r="T7" s="2"/>
    </row>
    <row r="8" spans="2:20" ht="13.5" thickBot="1">
      <c r="B8" s="9"/>
      <c r="C8" s="31"/>
      <c r="D8" s="31"/>
      <c r="H8" s="23" t="s">
        <v>9</v>
      </c>
      <c r="I8" s="31"/>
      <c r="J8" s="2"/>
      <c r="K8" s="2"/>
      <c r="L8" s="2"/>
      <c r="M8" s="2"/>
      <c r="N8" s="2"/>
      <c r="O8" s="2"/>
      <c r="P8" s="2"/>
      <c r="Q8" s="2"/>
      <c r="R8" s="2"/>
      <c r="S8" s="2"/>
      <c r="T8" s="2"/>
    </row>
    <row r="9" spans="2:20" ht="13.5" thickBot="1">
      <c r="B9" s="9"/>
      <c r="C9" s="31"/>
      <c r="D9" s="31"/>
      <c r="H9" s="23" t="s">
        <v>10</v>
      </c>
      <c r="I9" s="31"/>
      <c r="J9" s="2"/>
      <c r="K9" s="2"/>
      <c r="L9" s="2"/>
      <c r="M9" s="2"/>
      <c r="N9" s="2"/>
      <c r="O9" s="2"/>
      <c r="P9" s="2"/>
      <c r="Q9" s="2"/>
      <c r="R9" s="2"/>
      <c r="S9" s="2"/>
      <c r="T9" s="2"/>
    </row>
    <row r="10" spans="2:20" ht="13.5" thickBot="1">
      <c r="B10" s="9"/>
      <c r="C10" s="31"/>
      <c r="D10" s="31"/>
      <c r="F10" s="7"/>
      <c r="G10" s="7"/>
      <c r="H10" s="23" t="s">
        <v>11</v>
      </c>
      <c r="I10" s="2"/>
      <c r="J10" s="2"/>
      <c r="K10" s="2"/>
      <c r="L10" s="2"/>
      <c r="M10" s="2"/>
      <c r="N10" s="2"/>
      <c r="O10" s="2"/>
      <c r="P10" s="2"/>
      <c r="Q10" s="2"/>
      <c r="R10" s="2"/>
      <c r="S10" s="2"/>
      <c r="T10" s="2"/>
    </row>
    <row r="11" spans="2:20" ht="13.5" thickBot="1">
      <c r="B11" s="9"/>
      <c r="C11" s="31"/>
      <c r="D11" s="31"/>
      <c r="F11" s="7"/>
      <c r="G11" s="7"/>
      <c r="H11" s="23" t="s">
        <v>12</v>
      </c>
      <c r="I11" s="2"/>
      <c r="J11" s="2"/>
      <c r="K11" s="2"/>
      <c r="L11" s="2"/>
      <c r="M11" s="2"/>
      <c r="N11" s="2"/>
      <c r="O11" s="2"/>
      <c r="P11" s="2"/>
      <c r="Q11" s="2"/>
      <c r="R11" s="2"/>
      <c r="S11" s="2"/>
      <c r="T11" s="2"/>
    </row>
    <row r="12" spans="2:20" ht="13.5" thickBot="1">
      <c r="B12" s="9"/>
      <c r="C12" s="31"/>
      <c r="D12" s="31"/>
      <c r="F12" s="7"/>
      <c r="G12" s="7"/>
      <c r="H12" s="23" t="s">
        <v>13</v>
      </c>
      <c r="I12" s="2"/>
      <c r="J12" s="2"/>
      <c r="K12" s="2"/>
      <c r="L12" s="2"/>
      <c r="M12" s="2"/>
      <c r="N12" s="2"/>
      <c r="O12" s="2"/>
      <c r="P12" s="2"/>
      <c r="Q12" s="2"/>
      <c r="R12" s="2"/>
      <c r="S12" s="2"/>
      <c r="T12" s="2"/>
    </row>
    <row r="13" spans="2:20" ht="13.5" thickBot="1">
      <c r="B13" s="9"/>
      <c r="C13" s="31"/>
      <c r="D13" s="31"/>
      <c r="F13" s="7"/>
      <c r="G13" s="7"/>
      <c r="H13" s="23" t="s">
        <v>14</v>
      </c>
      <c r="I13" s="2"/>
      <c r="J13" s="2"/>
      <c r="K13" s="2"/>
      <c r="L13" s="2"/>
      <c r="M13" s="2"/>
      <c r="N13" s="2"/>
      <c r="O13" s="2"/>
      <c r="P13" s="2"/>
      <c r="Q13" s="2"/>
      <c r="R13" s="2"/>
      <c r="S13" s="2"/>
      <c r="T13" s="2"/>
    </row>
    <row r="14" spans="2:20" ht="13.5" thickBot="1">
      <c r="B14" s="9"/>
      <c r="C14" s="31"/>
      <c r="D14" s="31"/>
      <c r="H14" s="23" t="s">
        <v>15</v>
      </c>
      <c r="I14" s="2"/>
      <c r="J14" s="2"/>
      <c r="K14" s="2"/>
      <c r="L14" s="2"/>
      <c r="M14" s="2"/>
      <c r="N14" s="2"/>
      <c r="O14" s="2"/>
      <c r="P14" s="2"/>
      <c r="Q14" s="2"/>
      <c r="R14" s="2"/>
      <c r="S14" s="2"/>
      <c r="T14" s="2"/>
    </row>
    <row r="15" spans="2:4" ht="13.5" customHeight="1" thickBot="1">
      <c r="B15" s="9"/>
      <c r="C15" s="31"/>
      <c r="D15" s="31"/>
    </row>
    <row r="16" spans="2:4" ht="13.5" thickBot="1">
      <c r="B16" s="9"/>
      <c r="C16" s="31"/>
      <c r="D16" s="31"/>
    </row>
    <row r="17" spans="2:8" ht="12.75">
      <c r="B17" s="43"/>
      <c r="C17" s="9"/>
      <c r="D17" s="9"/>
      <c r="E17" s="13"/>
      <c r="H17" s="12" t="s">
        <v>44</v>
      </c>
    </row>
    <row r="18" spans="2:5" ht="12.75">
      <c r="B18" s="76" t="s">
        <v>42</v>
      </c>
      <c r="C18" s="76"/>
      <c r="D18" s="76"/>
      <c r="E18" s="76"/>
    </row>
    <row r="19" spans="2:5" ht="13.5" thickBot="1">
      <c r="B19" s="76"/>
      <c r="C19" s="76"/>
      <c r="D19" s="76"/>
      <c r="E19" s="76"/>
    </row>
    <row r="20" spans="3:20" ht="13.5" thickBot="1">
      <c r="C20" s="44">
        <v>1</v>
      </c>
      <c r="D20" s="31"/>
      <c r="E20" s="40"/>
      <c r="H20" s="71" t="str">
        <f>IF(Рабочий!F40=1,"Концентрация АТ в образце, МЕ/мл","Концентрация АТ в образце, мМЕ/мл")</f>
        <v>Концентрация АТ в образце, МЕ/мл</v>
      </c>
      <c r="I20" s="74"/>
      <c r="J20" s="74"/>
      <c r="K20" s="74"/>
      <c r="L20" s="74"/>
      <c r="M20" s="74"/>
      <c r="N20" s="74"/>
      <c r="O20" s="74"/>
      <c r="P20" s="74"/>
      <c r="Q20" s="74"/>
      <c r="R20" s="74"/>
      <c r="S20" s="74"/>
      <c r="T20" s="75"/>
    </row>
    <row r="21" spans="3:20" ht="12.75" customHeight="1" thickBot="1">
      <c r="C21" s="44">
        <v>2</v>
      </c>
      <c r="D21" s="31"/>
      <c r="H21" s="2"/>
      <c r="I21" s="10">
        <v>1</v>
      </c>
      <c r="J21" s="10">
        <v>2</v>
      </c>
      <c r="K21" s="10">
        <v>3</v>
      </c>
      <c r="L21" s="10">
        <v>4</v>
      </c>
      <c r="M21" s="10">
        <v>5</v>
      </c>
      <c r="N21" s="10">
        <v>6</v>
      </c>
      <c r="O21" s="10">
        <v>7</v>
      </c>
      <c r="P21" s="10">
        <v>8</v>
      </c>
      <c r="Q21" s="10">
        <v>9</v>
      </c>
      <c r="R21" s="10">
        <v>10</v>
      </c>
      <c r="S21" s="10">
        <v>11</v>
      </c>
      <c r="T21" s="10">
        <v>12</v>
      </c>
    </row>
    <row r="22" spans="3:20" ht="13.5" thickBot="1">
      <c r="C22" s="44">
        <v>3</v>
      </c>
      <c r="D22" s="31"/>
      <c r="E22" s="16"/>
      <c r="H22" s="11" t="s">
        <v>8</v>
      </c>
      <c r="I22" s="30" t="str">
        <f>IF(AND(ISNUMBER(I7),(Рабочий!$E$17=1)),IF(Рабочий!$F$40=1,(IF(AND(I7&gt;=Рабочий!$A$34*1.1,Рабочий!$E$34&gt;='HBs,RUBELLA'!I7),EXP(Рабочий!$G$8*POWER((I7),5)+Рабочий!$G$9*POWER((I7),4)+Рабочий!$G$10*POWER((I7),3)+Рабочий!$G$11*POWER((I7),2)+Рабочий!$G$12*(I7)+Рабочий!$G$13),IF(I7&lt;=Рабочий!$A$34*0.9,"-",IF(AND(I7&lt;(Рабочий!$A$34*1.1),'HBs,RUBELLA'!I7&gt;(0.9*Рабочий!$A$34)),"сомн.","&gt;160")))),IF(I7&lt;(0.07+AVERAGE($D$20:$D$22)),"-",IF(I7&gt;Рабочий!$E$34,"&gt;150",IF(EXP(Рабочий!$G$8*POWER((I7),5)+Рабочий!$G$9*POWER((I7),4)+Рабочий!$G$10*POWER((I7),3)+Рабочий!$G$11*POWER((I7),2)+Рабочий!$G$12*(I7)+Рабочий!$G$13)&lt;150,EXP(Рабочий!$G$8*POWER((I7),5)+Рабочий!$G$9*POWER((I7),4)+Рабочий!$G$10*POWER((I7),3)+Рабочий!$G$11*POWER((I7),2)+Рабочий!$G$12*(I7)+Рабочий!$G$13),"150")))),"     ")</f>
        <v>     </v>
      </c>
      <c r="J22" s="30" t="str">
        <f>IF(AND(ISNUMBER(J7),(Рабочий!$E$17=1)),IF(Рабочий!$F$40=1,(IF(AND(J7&gt;=Рабочий!$A$34*1.1,Рабочий!$E$34&gt;='HBs,RUBELLA'!J7),EXP(Рабочий!$G$8*POWER((J7),5)+Рабочий!$G$9*POWER((J7),4)+Рабочий!$G$10*POWER((J7),3)+Рабочий!$G$11*POWER((J7),2)+Рабочий!$G$12*(J7)+Рабочий!$G$13),IF(J7&lt;=Рабочий!$A$34*0.9,"-",IF(AND(J7&lt;(Рабочий!$A$34*1.1),'HBs,RUBELLA'!J7&gt;(0.9*Рабочий!$A$34)),"сомн.","&gt;160")))),IF(J7&lt;(0.07+AVERAGE($D$20:$D$22)),"-",IF(J7&gt;Рабочий!$E$34,"&gt;150",IF(EXP(Рабочий!$G$8*POWER((J7),5)+Рабочий!$G$9*POWER((J7),4)+Рабочий!$G$10*POWER((J7),3)+Рабочий!$G$11*POWER((J7),2)+Рабочий!$G$12*(J7)+Рабочий!$G$13)&lt;150,EXP(Рабочий!$G$8*POWER((J7),5)+Рабочий!$G$9*POWER((J7),4)+Рабочий!$G$10*POWER((J7),3)+Рабочий!$G$11*POWER((J7),2)+Рабочий!$G$12*(J7)+Рабочий!$G$13),"150")))),"     ")</f>
        <v>     </v>
      </c>
      <c r="K22" s="30" t="str">
        <f>IF(AND(ISNUMBER(K7),(Рабочий!$E$17=1)),IF(Рабочий!$F$40=1,(IF(AND(K7&gt;=Рабочий!$A$34*1.1,Рабочий!$E$34&gt;='HBs,RUBELLA'!K7),EXP(Рабочий!$G$8*POWER((K7),5)+Рабочий!$G$9*POWER((K7),4)+Рабочий!$G$10*POWER((K7),3)+Рабочий!$G$11*POWER((K7),2)+Рабочий!$G$12*(K7)+Рабочий!$G$13),IF(K7&lt;=Рабочий!$A$34*0.9,"-",IF(AND(K7&lt;(Рабочий!$A$34*1.1),'HBs,RUBELLA'!K7&gt;(0.9*Рабочий!$A$34)),"сомн.","&gt;160")))),IF(K7&lt;(0.07+AVERAGE($D$20:$D$22)),"-",IF(K7&gt;Рабочий!$E$34,"&gt;150",IF(EXP(Рабочий!$G$8*POWER((K7),5)+Рабочий!$G$9*POWER((K7),4)+Рабочий!$G$10*POWER((K7),3)+Рабочий!$G$11*POWER((K7),2)+Рабочий!$G$12*(K7)+Рабочий!$G$13)&lt;150,EXP(Рабочий!$G$8*POWER((K7),5)+Рабочий!$G$9*POWER((K7),4)+Рабочий!$G$10*POWER((K7),3)+Рабочий!$G$11*POWER((K7),2)+Рабочий!$G$12*(K7)+Рабочий!$G$13),"150")))),"     ")</f>
        <v>     </v>
      </c>
      <c r="L22" s="30" t="str">
        <f>IF(AND(ISNUMBER(L7),(Рабочий!$E$17=1)),IF(Рабочий!$F$40=1,(IF(AND(L7&gt;=Рабочий!$A$34*1.1,Рабочий!$E$34&gt;='HBs,RUBELLA'!L7),EXP(Рабочий!$G$8*POWER((L7),5)+Рабочий!$G$9*POWER((L7),4)+Рабочий!$G$10*POWER((L7),3)+Рабочий!$G$11*POWER((L7),2)+Рабочий!$G$12*(L7)+Рабочий!$G$13),IF(L7&lt;=Рабочий!$A$34*0.9,"-",IF(AND(L7&lt;(Рабочий!$A$34*1.1),'HBs,RUBELLA'!L7&gt;(0.9*Рабочий!$A$34)),"сомн.","&gt;160")))),IF(L7&lt;(0.07+AVERAGE($D$20:$D$22)),"-",IF(L7&gt;Рабочий!$E$34,"&gt;150",IF(EXP(Рабочий!$G$8*POWER((L7),5)+Рабочий!$G$9*POWER((L7),4)+Рабочий!$G$10*POWER((L7),3)+Рабочий!$G$11*POWER((L7),2)+Рабочий!$G$12*(L7)+Рабочий!$G$13)&lt;150,EXP(Рабочий!$G$8*POWER((L7),5)+Рабочий!$G$9*POWER((L7),4)+Рабочий!$G$10*POWER((L7),3)+Рабочий!$G$11*POWER((L7),2)+Рабочий!$G$12*(L7)+Рабочий!$G$13),"150")))),"     ")</f>
        <v>     </v>
      </c>
      <c r="M22" s="30" t="str">
        <f>IF(AND(ISNUMBER(M7),(Рабочий!$E$17=1)),IF(Рабочий!$F$40=1,(IF(AND(M7&gt;=Рабочий!$A$34*1.1,Рабочий!$E$34&gt;='HBs,RUBELLA'!M7),EXP(Рабочий!$G$8*POWER((M7),5)+Рабочий!$G$9*POWER((M7),4)+Рабочий!$G$10*POWER((M7),3)+Рабочий!$G$11*POWER((M7),2)+Рабочий!$G$12*(M7)+Рабочий!$G$13),IF(M7&lt;=Рабочий!$A$34*0.9,"-",IF(AND(M7&lt;(Рабочий!$A$34*1.1),'HBs,RUBELLA'!M7&gt;(0.9*Рабочий!$A$34)),"сомн.","&gt;160")))),IF(M7&lt;(0.07+AVERAGE($D$20:$D$22)),"-",IF(M7&gt;Рабочий!$E$34,"&gt;150",IF(EXP(Рабочий!$G$8*POWER((M7),5)+Рабочий!$G$9*POWER((M7),4)+Рабочий!$G$10*POWER((M7),3)+Рабочий!$G$11*POWER((M7),2)+Рабочий!$G$12*(M7)+Рабочий!$G$13)&lt;150,EXP(Рабочий!$G$8*POWER((M7),5)+Рабочий!$G$9*POWER((M7),4)+Рабочий!$G$10*POWER((M7),3)+Рабочий!$G$11*POWER((M7),2)+Рабочий!$G$12*(M7)+Рабочий!$G$13),"150")))),"     ")</f>
        <v>     </v>
      </c>
      <c r="N22" s="30" t="str">
        <f>IF(AND(ISNUMBER(N7),(Рабочий!$E$17=1)),IF(Рабочий!$F$40=1,(IF(AND(N7&gt;=Рабочий!$A$34*1.1,Рабочий!$E$34&gt;='HBs,RUBELLA'!N7),EXP(Рабочий!$G$8*POWER((N7),5)+Рабочий!$G$9*POWER((N7),4)+Рабочий!$G$10*POWER((N7),3)+Рабочий!$G$11*POWER((N7),2)+Рабочий!$G$12*(N7)+Рабочий!$G$13),IF(N7&lt;=Рабочий!$A$34*0.9,"-",IF(AND(N7&lt;(Рабочий!$A$34*1.1),'HBs,RUBELLA'!N7&gt;(0.9*Рабочий!$A$34)),"сомн.","&gt;160")))),IF(N7&lt;(0.07+AVERAGE($D$20:$D$22)),"-",IF(N7&gt;Рабочий!$E$34,"&gt;150",EXP(Рабочий!$G$8*POWER((N7),5)+Рабочий!$G$9*POWER((N7),4)+Рабочий!$G$10*POWER((N7),3)+Рабочий!$G$11*POWER((N7),2)+Рабочий!$G$12*(N7)+Рабочий!$G$13)))),"     ")</f>
        <v>     </v>
      </c>
      <c r="O22" s="30" t="str">
        <f>IF(AND(ISNUMBER(O7),(Рабочий!$E$17=1)),IF(Рабочий!$F$40=1,(IF(AND(O7&gt;=Рабочий!$A$34*1.1,Рабочий!$E$34&gt;='HBs,RUBELLA'!O7),EXP(Рабочий!$G$8*POWER((O7),5)+Рабочий!$G$9*POWER((O7),4)+Рабочий!$G$10*POWER((O7),3)+Рабочий!$G$11*POWER((O7),2)+Рабочий!$G$12*(O7)+Рабочий!$G$13),IF(O7&lt;=Рабочий!$A$34*0.9,"-",IF(AND(O7&lt;(Рабочий!$A$34*1.1),'HBs,RUBELLA'!O7&gt;(0.9*Рабочий!$A$34)),"сомн.","&gt;160")))),IF(O7&lt;(0.07+AVERAGE($D$20:$D$22)),"-",IF(O7&gt;Рабочий!$E$34,"&gt;150",EXP(Рабочий!$G$8*POWER((O7),5)+Рабочий!$G$9*POWER((O7),4)+Рабочий!$G$10*POWER((O7),3)+Рабочий!$G$11*POWER((O7),2)+Рабочий!$G$12*(O7)+Рабочий!$G$13)))),"     ")</f>
        <v>     </v>
      </c>
      <c r="P22" s="30" t="str">
        <f>IF(AND(ISNUMBER(P7),(Рабочий!$E$17=1)),IF(Рабочий!$F$40=1,(IF(AND(P7&gt;=Рабочий!$A$34*1.1,Рабочий!$E$34&gt;='HBs,RUBELLA'!P7),EXP(Рабочий!$G$8*POWER((P7),5)+Рабочий!$G$9*POWER((P7),4)+Рабочий!$G$10*POWER((P7),3)+Рабочий!$G$11*POWER((P7),2)+Рабочий!$G$12*(P7)+Рабочий!$G$13),IF(P7&lt;=Рабочий!$A$34*0.9,"-",IF(AND(P7&lt;(Рабочий!$A$34*1.1),'HBs,RUBELLA'!P7&gt;(0.9*Рабочий!$A$34)),"сомн.","&gt;160")))),IF(P7&lt;(0.07+AVERAGE($D$20:$D$22)),"-",IF(P7&gt;Рабочий!$E$34,"&gt;150",EXP(Рабочий!$G$8*POWER((P7),5)+Рабочий!$G$9*POWER((P7),4)+Рабочий!$G$10*POWER((P7),3)+Рабочий!$G$11*POWER((P7),2)+Рабочий!$G$12*(P7)+Рабочий!$G$13)))),"     ")</f>
        <v>     </v>
      </c>
      <c r="Q22" s="30" t="str">
        <f>IF(AND(ISNUMBER(Q7),(Рабочий!$E$17=1)),IF(Рабочий!$F$40=1,(IF(AND(Q7&gt;=Рабочий!$A$34*1.1,Рабочий!$E$34&gt;='HBs,RUBELLA'!Q7),EXP(Рабочий!$G$8*POWER((Q7),5)+Рабочий!$G$9*POWER((Q7),4)+Рабочий!$G$10*POWER((Q7),3)+Рабочий!$G$11*POWER((Q7),2)+Рабочий!$G$12*(Q7)+Рабочий!$G$13),IF(Q7&lt;=Рабочий!$A$34*0.9,"-",IF(AND(Q7&lt;(Рабочий!$A$34*1.1),'HBs,RUBELLA'!Q7&gt;(0.9*Рабочий!$A$34)),"сомн.","&gt;160")))),IF(Q7&lt;(0.07+AVERAGE($D$20:$D$22)),"-",IF(Q7&gt;Рабочий!$E$34,"&gt;150",EXP(Рабочий!$G$8*POWER((Q7),5)+Рабочий!$G$9*POWER((Q7),4)+Рабочий!$G$10*POWER((Q7),3)+Рабочий!$G$11*POWER((Q7),2)+Рабочий!$G$12*(Q7)+Рабочий!$G$13)))),"     ")</f>
        <v>     </v>
      </c>
      <c r="R22" s="30" t="str">
        <f>IF(AND(ISNUMBER(R7),(Рабочий!$E$17=1)),IF(Рабочий!$F$40=1,(IF(AND(R7&gt;=Рабочий!$A$34*1.1,Рабочий!$E$34&gt;='HBs,RUBELLA'!R7),EXP(Рабочий!$G$8*POWER((R7),5)+Рабочий!$G$9*POWER((R7),4)+Рабочий!$G$10*POWER((R7),3)+Рабочий!$G$11*POWER((R7),2)+Рабочий!$G$12*(R7)+Рабочий!$G$13),IF(R7&lt;=Рабочий!$A$34*0.9,"-",IF(AND(R7&lt;(Рабочий!$A$34*1.1),'HBs,RUBELLA'!R7&gt;(0.9*Рабочий!$A$34)),"сомн.","&gt;160")))),IF(R7&lt;(0.07+AVERAGE($D$20:$D$22)),"-",IF(R7&gt;Рабочий!$E$34,"&gt;150",EXP(Рабочий!$G$8*POWER((R7),5)+Рабочий!$G$9*POWER((R7),4)+Рабочий!$G$10*POWER((R7),3)+Рабочий!$G$11*POWER((R7),2)+Рабочий!$G$12*(R7)+Рабочий!$G$13)))),"     ")</f>
        <v>     </v>
      </c>
      <c r="S22" s="30" t="str">
        <f>IF(AND(ISNUMBER(S7),(Рабочий!$E$17=1)),IF(Рабочий!$F$40=1,(IF(AND(S7&gt;=Рабочий!$A$34*1.1,Рабочий!$E$34&gt;='HBs,RUBELLA'!S7),EXP(Рабочий!$G$8*POWER((S7),5)+Рабочий!$G$9*POWER((S7),4)+Рабочий!$G$10*POWER((S7),3)+Рабочий!$G$11*POWER((S7),2)+Рабочий!$G$12*(S7)+Рабочий!$G$13),IF(S7&lt;=Рабочий!$A$34*0.9,"-",IF(AND(S7&lt;(Рабочий!$A$34*1.1),'HBs,RUBELLA'!S7&gt;(0.9*Рабочий!$A$34)),"сомн.","&gt;160")))),IF(S7&lt;(0.07+AVERAGE($D$20:$D$22)),"-",IF(S7&gt;Рабочий!$E$34,"&gt;150",EXP(Рабочий!$G$8*POWER((S7),5)+Рабочий!$G$9*POWER((S7),4)+Рабочий!$G$10*POWER((S7),3)+Рабочий!$G$11*POWER((S7),2)+Рабочий!$G$12*(S7)+Рабочий!$G$13)))),"     ")</f>
        <v>     </v>
      </c>
      <c r="T22" s="30" t="str">
        <f>IF(AND(ISNUMBER(T7),(Рабочий!$E$17=1)),IF(Рабочий!$F$40=1,(IF(AND(T7&gt;=Рабочий!$A$34*1.1,Рабочий!$E$34&gt;='HBs,RUBELLA'!T7),EXP(Рабочий!$G$8*POWER((T7),5)+Рабочий!$G$9*POWER((T7),4)+Рабочий!$G$10*POWER((T7),3)+Рабочий!$G$11*POWER((T7),2)+Рабочий!$G$12*(T7)+Рабочий!$G$13),IF(T7&lt;=Рабочий!$A$34*0.9,"-",IF(AND(T7&lt;(Рабочий!$A$34*1.1),'HBs,RUBELLA'!T7&gt;(0.9*Рабочий!$A$34)),"сомн.","&gt;160")))),IF(T7&lt;(0.07+AVERAGE($D$20:$D$22)),"-",IF(T7&gt;Рабочий!$E$34,"&gt;150",EXP(Рабочий!$G$8*POWER((T7),5)+Рабочий!$G$9*POWER((T7),4)+Рабочий!$G$10*POWER((T7),3)+Рабочий!$G$11*POWER((T7),2)+Рабочий!$G$12*(T7)+Рабочий!$G$13)))),"     ")</f>
        <v>     </v>
      </c>
    </row>
    <row r="23" spans="2:20" ht="13.5" thickBot="1">
      <c r="B23" s="16"/>
      <c r="D23" s="16"/>
      <c r="E23" s="16"/>
      <c r="H23" s="11" t="s">
        <v>9</v>
      </c>
      <c r="I23" s="30" t="str">
        <f>IF(AND(ISNUMBER(I8),(Рабочий!$E$17=1)),IF(Рабочий!$F$40=1,(IF(AND(I8&gt;=Рабочий!$A$34*1.1,Рабочий!$E$34&gt;='HBs,RUBELLA'!I8),EXP(Рабочий!$G$8*POWER((I8),5)+Рабочий!$G$9*POWER((I8),4)+Рабочий!$G$10*POWER((I8),3)+Рабочий!$G$11*POWER((I8),2)+Рабочий!$G$12*(I8)+Рабочий!$G$13),IF(I8&lt;=Рабочий!$A$34*0.9,"-",IF(AND(I8&lt;(Рабочий!$A$34*1.1),'HBs,RUBELLA'!I8&gt;(0.9*Рабочий!$A$34)),"сомн.","&gt;160")))),IF(I8&lt;(0.07+AVERAGE($D$20:$D$22)),"-",IF(I8&gt;Рабочий!$E$34,"&gt;150",IF(EXP(Рабочий!$G$8*POWER((I8),5)+Рабочий!$G$9*POWER((I8),4)+Рабочий!$G$10*POWER((I8),3)+Рабочий!$G$11*POWER((I8),2)+Рабочий!$G$12*(I8)+Рабочий!$G$13)&lt;150,EXP(Рабочий!$G$8*POWER((I8),5)+Рабочий!$G$9*POWER((I8),4)+Рабочий!$G$10*POWER((I8),3)+Рабочий!$G$11*POWER((I8),2)+Рабочий!$G$12*(I8)+Рабочий!$G$13),"150")))),"     ")</f>
        <v>     </v>
      </c>
      <c r="J23" s="30" t="str">
        <f>IF(AND(ISNUMBER(J8),(Рабочий!$E$17=1)),IF(Рабочий!$F$40=1,(IF(AND(J8&gt;=Рабочий!$A$34*1.1,Рабочий!$E$34&gt;='HBs,RUBELLA'!J8),EXP(Рабочий!$G$8*POWER((J8),5)+Рабочий!$G$9*POWER((J8),4)+Рабочий!$G$10*POWER((J8),3)+Рабочий!$G$11*POWER((J8),2)+Рабочий!$G$12*(J8)+Рабочий!$G$13),IF(J8&lt;=Рабочий!$A$34*0.9,"-",IF(AND(J8&lt;(Рабочий!$A$34*1.1),'HBs,RUBELLA'!J8&gt;(0.9*Рабочий!$A$34)),"сомн.","&gt;160")))),IF(J8&lt;(0.07+AVERAGE($D$20:$D$22)),"-",IF(J8&gt;Рабочий!$E$34,"&gt;150",IF(EXP(Рабочий!$G$8*POWER((J8),5)+Рабочий!$G$9*POWER((J8),4)+Рабочий!$G$10*POWER((J8),3)+Рабочий!$G$11*POWER((J8),2)+Рабочий!$G$12*(J8)+Рабочий!$G$13)&lt;150,EXP(Рабочий!$G$8*POWER((J8),5)+Рабочий!$G$9*POWER((J8),4)+Рабочий!$G$10*POWER((J8),3)+Рабочий!$G$11*POWER((J8),2)+Рабочий!$G$12*(J8)+Рабочий!$G$13),"150")))),"     ")</f>
        <v>     </v>
      </c>
      <c r="K23" s="30" t="str">
        <f>IF(AND(ISNUMBER(K8),(Рабочий!$E$17=1)),IF(Рабочий!$F$40=1,(IF(AND(K8&gt;=Рабочий!$A$34*1.1,Рабочий!$E$34&gt;='HBs,RUBELLA'!K8),EXP(Рабочий!$G$8*POWER((K8),5)+Рабочий!$G$9*POWER((K8),4)+Рабочий!$G$10*POWER((K8),3)+Рабочий!$G$11*POWER((K8),2)+Рабочий!$G$12*(K8)+Рабочий!$G$13),IF(K8&lt;=Рабочий!$A$34*0.9,"-",IF(AND(K8&lt;(Рабочий!$A$34*1.1),'HBs,RUBELLA'!K8&gt;(0.9*Рабочий!$A$34)),"сомн.","&gt;160")))),IF(K8&lt;(0.07+AVERAGE($D$20:$D$22)),"-",IF(K8&gt;Рабочий!$E$34,"&gt;150",IF(EXP(Рабочий!$G$8*POWER((K8),5)+Рабочий!$G$9*POWER((K8),4)+Рабочий!$G$10*POWER((K8),3)+Рабочий!$G$11*POWER((K8),2)+Рабочий!$G$12*(K8)+Рабочий!$G$13)&lt;150,EXP(Рабочий!$G$8*POWER((K8),5)+Рабочий!$G$9*POWER((K8),4)+Рабочий!$G$10*POWER((K8),3)+Рабочий!$G$11*POWER((K8),2)+Рабочий!$G$12*(K8)+Рабочий!$G$13),"150")))),"     ")</f>
        <v>     </v>
      </c>
      <c r="L23" s="30" t="str">
        <f>IF(AND(ISNUMBER(L8),(Рабочий!$E$17=1)),IF(Рабочий!$F$40=1,(IF(AND(L8&gt;=Рабочий!$A$34*1.1,Рабочий!$E$34&gt;='HBs,RUBELLA'!L8),EXP(Рабочий!$G$8*POWER((L8),5)+Рабочий!$G$9*POWER((L8),4)+Рабочий!$G$10*POWER((L8),3)+Рабочий!$G$11*POWER((L8),2)+Рабочий!$G$12*(L8)+Рабочий!$G$13),IF(L8&lt;=Рабочий!$A$34*0.9,"-",IF(AND(L8&lt;(Рабочий!$A$34*1.1),'HBs,RUBELLA'!L8&gt;(0.9*Рабочий!$A$34)),"сомн.","&gt;160")))),IF(L8&lt;(0.07+AVERAGE($D$20:$D$22)),"-",IF(L8&gt;Рабочий!$E$34,"&gt;150",IF(EXP(Рабочий!$G$8*POWER((L8),5)+Рабочий!$G$9*POWER((L8),4)+Рабочий!$G$10*POWER((L8),3)+Рабочий!$G$11*POWER((L8),2)+Рабочий!$G$12*(L8)+Рабочий!$G$13)&lt;150,EXP(Рабочий!$G$8*POWER((L8),5)+Рабочий!$G$9*POWER((L8),4)+Рабочий!$G$10*POWER((L8),3)+Рабочий!$G$11*POWER((L8),2)+Рабочий!$G$12*(L8)+Рабочий!$G$13),"150")))),"     ")</f>
        <v>     </v>
      </c>
      <c r="M23" s="30" t="str">
        <f>IF(AND(ISNUMBER(M8),(Рабочий!$E$17=1)),IF(Рабочий!$F$40=1,(IF(AND(M8&gt;=Рабочий!$A$34*1.1,Рабочий!$E$34&gt;='HBs,RUBELLA'!M8),EXP(Рабочий!$G$8*POWER((M8),5)+Рабочий!$G$9*POWER((M8),4)+Рабочий!$G$10*POWER((M8),3)+Рабочий!$G$11*POWER((M8),2)+Рабочий!$G$12*(M8)+Рабочий!$G$13),IF(M8&lt;=Рабочий!$A$34*0.9,"-",IF(AND(M8&lt;(Рабочий!$A$34*1.1),'HBs,RUBELLA'!M8&gt;(0.9*Рабочий!$A$34)),"сомн.","&gt;160")))),IF(M8&lt;(0.07+AVERAGE($D$20:$D$22)),"-",IF(M8&gt;Рабочий!$E$34,"&gt;150",IF(EXP(Рабочий!$G$8*POWER((M8),5)+Рабочий!$G$9*POWER((M8),4)+Рабочий!$G$10*POWER((M8),3)+Рабочий!$G$11*POWER((M8),2)+Рабочий!$G$12*(M8)+Рабочий!$G$13)&lt;150,EXP(Рабочий!$G$8*POWER((M8),5)+Рабочий!$G$9*POWER((M8),4)+Рабочий!$G$10*POWER((M8),3)+Рабочий!$G$11*POWER((M8),2)+Рабочий!$G$12*(M8)+Рабочий!$G$13),"150")))),"     ")</f>
        <v>     </v>
      </c>
      <c r="N23" s="30" t="str">
        <f>IF(AND(ISNUMBER(N8),(Рабочий!$E$17=1)),IF(Рабочий!$F$40=1,(IF(AND(N8&gt;=Рабочий!$A$34*1.1,Рабочий!$E$34&gt;='HBs,RUBELLA'!N8),EXP(Рабочий!$G$8*POWER((N8),5)+Рабочий!$G$9*POWER((N8),4)+Рабочий!$G$10*POWER((N8),3)+Рабочий!$G$11*POWER((N8),2)+Рабочий!$G$12*(N8)+Рабочий!$G$13),IF(N8&lt;=Рабочий!$A$34*0.9,"-",IF(AND(N8&lt;(Рабочий!$A$34*1.1),'HBs,RUBELLA'!N8&gt;(0.9*Рабочий!$A$34)),"сомн.","&gt;160")))),IF(N8&lt;(0.07+AVERAGE($D$20:$D$22)),"-",IF(N8&gt;Рабочий!$E$34,"&gt;150",EXP(Рабочий!$G$8*POWER((N8),5)+Рабочий!$G$9*POWER((N8),4)+Рабочий!$G$10*POWER((N8),3)+Рабочий!$G$11*POWER((N8),2)+Рабочий!$G$12*(N8)+Рабочий!$G$13)))),"     ")</f>
        <v>     </v>
      </c>
      <c r="O23" s="30" t="str">
        <f>IF(AND(ISNUMBER(O8),(Рабочий!$E$17=1)),IF(Рабочий!$F$40=1,(IF(AND(O8&gt;=Рабочий!$A$34*1.1,Рабочий!$E$34&gt;='HBs,RUBELLA'!O8),EXP(Рабочий!$G$8*POWER((O8),5)+Рабочий!$G$9*POWER((O8),4)+Рабочий!$G$10*POWER((O8),3)+Рабочий!$G$11*POWER((O8),2)+Рабочий!$G$12*(O8)+Рабочий!$G$13),IF(O8&lt;=Рабочий!$A$34*0.9,"-",IF(AND(O8&lt;(Рабочий!$A$34*1.1),'HBs,RUBELLA'!O8&gt;(0.9*Рабочий!$A$34)),"сомн.","&gt;160")))),IF(O8&lt;(0.07+AVERAGE($D$20:$D$22)),"-",IF(O8&gt;Рабочий!$E$34,"&gt;150",EXP(Рабочий!$G$8*POWER((O8),5)+Рабочий!$G$9*POWER((O8),4)+Рабочий!$G$10*POWER((O8),3)+Рабочий!$G$11*POWER((O8),2)+Рабочий!$G$12*(O8)+Рабочий!$G$13)))),"     ")</f>
        <v>     </v>
      </c>
      <c r="P23" s="30" t="str">
        <f>IF(AND(ISNUMBER(P8),(Рабочий!$E$17=1)),IF(Рабочий!$F$40=1,(IF(AND(P8&gt;=Рабочий!$A$34*1.1,Рабочий!$E$34&gt;='HBs,RUBELLA'!P8),EXP(Рабочий!$G$8*POWER((P8),5)+Рабочий!$G$9*POWER((P8),4)+Рабочий!$G$10*POWER((P8),3)+Рабочий!$G$11*POWER((P8),2)+Рабочий!$G$12*(P8)+Рабочий!$G$13),IF(P8&lt;=Рабочий!$A$34*0.9,"-",IF(AND(P8&lt;(Рабочий!$A$34*1.1),'HBs,RUBELLA'!P8&gt;(0.9*Рабочий!$A$34)),"сомн.","&gt;160")))),IF(P8&lt;(0.07+AVERAGE($D$20:$D$22)),"-",IF(P8&gt;Рабочий!$E$34,"&gt;150",EXP(Рабочий!$G$8*POWER((P8),5)+Рабочий!$G$9*POWER((P8),4)+Рабочий!$G$10*POWER((P8),3)+Рабочий!$G$11*POWER((P8),2)+Рабочий!$G$12*(P8)+Рабочий!$G$13)))),"     ")</f>
        <v>     </v>
      </c>
      <c r="Q23" s="30" t="str">
        <f>IF(AND(ISNUMBER(Q8),(Рабочий!$E$17=1)),IF(Рабочий!$F$40=1,(IF(AND(Q8&gt;=Рабочий!$A$34*1.1,Рабочий!$E$34&gt;='HBs,RUBELLA'!Q8),EXP(Рабочий!$G$8*POWER((Q8),5)+Рабочий!$G$9*POWER((Q8),4)+Рабочий!$G$10*POWER((Q8),3)+Рабочий!$G$11*POWER((Q8),2)+Рабочий!$G$12*(Q8)+Рабочий!$G$13),IF(Q8&lt;=Рабочий!$A$34*0.9,"-",IF(AND(Q8&lt;(Рабочий!$A$34*1.1),'HBs,RUBELLA'!Q8&gt;(0.9*Рабочий!$A$34)),"сомн.","&gt;160")))),IF(Q8&lt;(0.07+AVERAGE($D$20:$D$22)),"-",IF(Q8&gt;Рабочий!$E$34,"&gt;150",EXP(Рабочий!$G$8*POWER((Q8),5)+Рабочий!$G$9*POWER((Q8),4)+Рабочий!$G$10*POWER((Q8),3)+Рабочий!$G$11*POWER((Q8),2)+Рабочий!$G$12*(Q8)+Рабочий!$G$13)))),"     ")</f>
        <v>     </v>
      </c>
      <c r="R23" s="30" t="str">
        <f>IF(AND(ISNUMBER(R8),(Рабочий!$E$17=1)),IF(Рабочий!$F$40=1,(IF(AND(R8&gt;=Рабочий!$A$34*1.1,Рабочий!$E$34&gt;='HBs,RUBELLA'!R8),EXP(Рабочий!$G$8*POWER((R8),5)+Рабочий!$G$9*POWER((R8),4)+Рабочий!$G$10*POWER((R8),3)+Рабочий!$G$11*POWER((R8),2)+Рабочий!$G$12*(R8)+Рабочий!$G$13),IF(R8&lt;=Рабочий!$A$34*0.9,"-",IF(AND(R8&lt;(Рабочий!$A$34*1.1),'HBs,RUBELLA'!R8&gt;(0.9*Рабочий!$A$34)),"сомн.","&gt;160")))),IF(R8&lt;(0.07+AVERAGE($D$20:$D$22)),"-",IF(R8&gt;Рабочий!$E$34,"&gt;150",EXP(Рабочий!$G$8*POWER((R8),5)+Рабочий!$G$9*POWER((R8),4)+Рабочий!$G$10*POWER((R8),3)+Рабочий!$G$11*POWER((R8),2)+Рабочий!$G$12*(R8)+Рабочий!$G$13)))),"     ")</f>
        <v>     </v>
      </c>
      <c r="S23" s="30" t="str">
        <f>IF(AND(ISNUMBER(S8),(Рабочий!$E$17=1)),IF(Рабочий!$F$40=1,(IF(AND(S8&gt;=Рабочий!$A$34*1.1,Рабочий!$E$34&gt;='HBs,RUBELLA'!S8),EXP(Рабочий!$G$8*POWER((S8),5)+Рабочий!$G$9*POWER((S8),4)+Рабочий!$G$10*POWER((S8),3)+Рабочий!$G$11*POWER((S8),2)+Рабочий!$G$12*(S8)+Рабочий!$G$13),IF(S8&lt;=Рабочий!$A$34*0.9,"-",IF(AND(S8&lt;(Рабочий!$A$34*1.1),'HBs,RUBELLA'!S8&gt;(0.9*Рабочий!$A$34)),"сомн.","&gt;160")))),IF(S8&lt;(0.07+AVERAGE($D$20:$D$22)),"-",IF(S8&gt;Рабочий!$E$34,"&gt;150",EXP(Рабочий!$G$8*POWER((S8),5)+Рабочий!$G$9*POWER((S8),4)+Рабочий!$G$10*POWER((S8),3)+Рабочий!$G$11*POWER((S8),2)+Рабочий!$G$12*(S8)+Рабочий!$G$13)))),"     ")</f>
        <v>     </v>
      </c>
      <c r="T23" s="30" t="str">
        <f>IF(AND(ISNUMBER(T8),(Рабочий!$E$17=1)),IF(Рабочий!$F$40=1,(IF(AND(T8&gt;=Рабочий!$A$34*1.1,Рабочий!$E$34&gt;='HBs,RUBELLA'!T8),EXP(Рабочий!$G$8*POWER((T8),5)+Рабочий!$G$9*POWER((T8),4)+Рабочий!$G$10*POWER((T8),3)+Рабочий!$G$11*POWER((T8),2)+Рабочий!$G$12*(T8)+Рабочий!$G$13),IF(T8&lt;=Рабочий!$A$34*0.9,"-",IF(AND(T8&lt;(Рабочий!$A$34*1.1),'HBs,RUBELLA'!T8&gt;(0.9*Рабочий!$A$34)),"сомн.","&gt;160")))),IF(T8&lt;(0.07+AVERAGE($D$20:$D$22)),"-",IF(T8&gt;Рабочий!$E$34,"&gt;150",EXP(Рабочий!$G$8*POWER((T8),5)+Рабочий!$G$9*POWER((T8),4)+Рабочий!$G$10*POWER((T8),3)+Рабочий!$G$11*POWER((T8),2)+Рабочий!$G$12*(T8)+Рабочий!$G$13)))),"     ")</f>
        <v>     </v>
      </c>
    </row>
    <row r="24" spans="6:20" ht="12.75" customHeight="1" thickBot="1">
      <c r="F24" s="14"/>
      <c r="H24" s="11" t="s">
        <v>10</v>
      </c>
      <c r="I24" s="30" t="str">
        <f>IF(AND(ISNUMBER(I9),(Рабочий!$E$17=1)),IF(Рабочий!$F$40=1,(IF(AND(I9&gt;=Рабочий!$A$34*1.1,Рабочий!$E$34&gt;='HBs,RUBELLA'!I9),EXP(Рабочий!$G$8*POWER((I9),5)+Рабочий!$G$9*POWER((I9),4)+Рабочий!$G$10*POWER((I9),3)+Рабочий!$G$11*POWER((I9),2)+Рабочий!$G$12*(I9)+Рабочий!$G$13),IF(I9&lt;=Рабочий!$A$34*0.9,"-",IF(AND(I9&lt;(Рабочий!$A$34*1.1),'HBs,RUBELLA'!I9&gt;(0.9*Рабочий!$A$34)),"сомн.","&gt;160")))),IF(I9&lt;(0.07+AVERAGE($D$20:$D$22)),"-",IF(I9&gt;Рабочий!$E$34,"&gt;150",IF(EXP(Рабочий!$G$8*POWER((I9),5)+Рабочий!$G$9*POWER((I9),4)+Рабочий!$G$10*POWER((I9),3)+Рабочий!$G$11*POWER((I9),2)+Рабочий!$G$12*(I9)+Рабочий!$G$13)&lt;150,EXP(Рабочий!$G$8*POWER((I9),5)+Рабочий!$G$9*POWER((I9),4)+Рабочий!$G$10*POWER((I9),3)+Рабочий!$G$11*POWER((I9),2)+Рабочий!$G$12*(I9)+Рабочий!$G$13),"150")))),"     ")</f>
        <v>     </v>
      </c>
      <c r="J24" s="30" t="str">
        <f>IF(AND(ISNUMBER(J9),(Рабочий!$E$17=1)),IF(Рабочий!$F$40=1,(IF(AND(J9&gt;=Рабочий!$A$34*1.1,Рабочий!$E$34&gt;='HBs,RUBELLA'!J9),EXP(Рабочий!$G$8*POWER((J9),5)+Рабочий!$G$9*POWER((J9),4)+Рабочий!$G$10*POWER((J9),3)+Рабочий!$G$11*POWER((J9),2)+Рабочий!$G$12*(J9)+Рабочий!$G$13),IF(J9&lt;=Рабочий!$A$34*0.9,"-",IF(AND(J9&lt;(Рабочий!$A$34*1.1),'HBs,RUBELLA'!J9&gt;(0.9*Рабочий!$A$34)),"сомн.","&gt;160")))),IF(J9&lt;(0.07+AVERAGE($D$20:$D$22)),"-",IF(J9&gt;Рабочий!$E$34,"&gt;150",IF(EXP(Рабочий!$G$8*POWER((J9),5)+Рабочий!$G$9*POWER((J9),4)+Рабочий!$G$10*POWER((J9),3)+Рабочий!$G$11*POWER((J9),2)+Рабочий!$G$12*(J9)+Рабочий!$G$13)&lt;150,EXP(Рабочий!$G$8*POWER((J9),5)+Рабочий!$G$9*POWER((J9),4)+Рабочий!$G$10*POWER((J9),3)+Рабочий!$G$11*POWER((J9),2)+Рабочий!$G$12*(J9)+Рабочий!$G$13),"150")))),"     ")</f>
        <v>     </v>
      </c>
      <c r="K24" s="30" t="str">
        <f>IF(AND(ISNUMBER(K9),(Рабочий!$E$17=1)),IF(Рабочий!$F$40=1,(IF(AND(K9&gt;=Рабочий!$A$34*1.1,Рабочий!$E$34&gt;='HBs,RUBELLA'!K9),EXP(Рабочий!$G$8*POWER((K9),5)+Рабочий!$G$9*POWER((K9),4)+Рабочий!$G$10*POWER((K9),3)+Рабочий!$G$11*POWER((K9),2)+Рабочий!$G$12*(K9)+Рабочий!$G$13),IF(K9&lt;=Рабочий!$A$34*0.9,"-",IF(AND(K9&lt;(Рабочий!$A$34*1.1),'HBs,RUBELLA'!K9&gt;(0.9*Рабочий!$A$34)),"сомн.","&gt;160")))),IF(K9&lt;(0.07+AVERAGE($D$20:$D$22)),"-",IF(K9&gt;Рабочий!$E$34,"&gt;150",IF(EXP(Рабочий!$G$8*POWER((K9),5)+Рабочий!$G$9*POWER((K9),4)+Рабочий!$G$10*POWER((K9),3)+Рабочий!$G$11*POWER((K9),2)+Рабочий!$G$12*(K9)+Рабочий!$G$13)&lt;150,EXP(Рабочий!$G$8*POWER((K9),5)+Рабочий!$G$9*POWER((K9),4)+Рабочий!$G$10*POWER((K9),3)+Рабочий!$G$11*POWER((K9),2)+Рабочий!$G$12*(K9)+Рабочий!$G$13),"150")))),"     ")</f>
        <v>     </v>
      </c>
      <c r="L24" s="30" t="str">
        <f>IF(AND(ISNUMBER(L9),(Рабочий!$E$17=1)),IF(Рабочий!$F$40=1,(IF(AND(L9&gt;=Рабочий!$A$34*1.1,Рабочий!$E$34&gt;='HBs,RUBELLA'!L9),EXP(Рабочий!$G$8*POWER((L9),5)+Рабочий!$G$9*POWER((L9),4)+Рабочий!$G$10*POWER((L9),3)+Рабочий!$G$11*POWER((L9),2)+Рабочий!$G$12*(L9)+Рабочий!$G$13),IF(L9&lt;=Рабочий!$A$34*0.9,"-",IF(AND(L9&lt;(Рабочий!$A$34*1.1),'HBs,RUBELLA'!L9&gt;(0.9*Рабочий!$A$34)),"сомн.","&gt;160")))),IF(L9&lt;(0.07+AVERAGE($D$20:$D$22)),"-",IF(L9&gt;Рабочий!$E$34,"&gt;150",IF(EXP(Рабочий!$G$8*POWER((L9),5)+Рабочий!$G$9*POWER((L9),4)+Рабочий!$G$10*POWER((L9),3)+Рабочий!$G$11*POWER((L9),2)+Рабочий!$G$12*(L9)+Рабочий!$G$13)&lt;150,EXP(Рабочий!$G$8*POWER((L9),5)+Рабочий!$G$9*POWER((L9),4)+Рабочий!$G$10*POWER((L9),3)+Рабочий!$G$11*POWER((L9),2)+Рабочий!$G$12*(L9)+Рабочий!$G$13),"150")))),"     ")</f>
        <v>     </v>
      </c>
      <c r="M24" s="30" t="str">
        <f>IF(AND(ISNUMBER(M9),(Рабочий!$E$17=1)),IF(Рабочий!$F$40=1,(IF(AND(M9&gt;=Рабочий!$A$34*1.1,Рабочий!$E$34&gt;='HBs,RUBELLA'!M9),EXP(Рабочий!$G$8*POWER((M9),5)+Рабочий!$G$9*POWER((M9),4)+Рабочий!$G$10*POWER((M9),3)+Рабочий!$G$11*POWER((M9),2)+Рабочий!$G$12*(M9)+Рабочий!$G$13),IF(M9&lt;=Рабочий!$A$34*0.9,"-",IF(AND(M9&lt;(Рабочий!$A$34*1.1),'HBs,RUBELLA'!M9&gt;(0.9*Рабочий!$A$34)),"сомн.","&gt;160")))),IF(M9&lt;(0.07+AVERAGE($D$20:$D$22)),"-",IF(M9&gt;Рабочий!$E$34,"&gt;150",IF(EXP(Рабочий!$G$8*POWER((M9),5)+Рабочий!$G$9*POWER((M9),4)+Рабочий!$G$10*POWER((M9),3)+Рабочий!$G$11*POWER((M9),2)+Рабочий!$G$12*(M9)+Рабочий!$G$13)&lt;150,EXP(Рабочий!$G$8*POWER((M9),5)+Рабочий!$G$9*POWER((M9),4)+Рабочий!$G$10*POWER((M9),3)+Рабочий!$G$11*POWER((M9),2)+Рабочий!$G$12*(M9)+Рабочий!$G$13),"150")))),"     ")</f>
        <v>     </v>
      </c>
      <c r="N24" s="30" t="str">
        <f>IF(AND(ISNUMBER(N9),(Рабочий!$E$17=1)),IF(Рабочий!$F$40=1,(IF(AND(N9&gt;=Рабочий!$A$34*1.1,Рабочий!$E$34&gt;='HBs,RUBELLA'!N9),EXP(Рабочий!$G$8*POWER((N9),5)+Рабочий!$G$9*POWER((N9),4)+Рабочий!$G$10*POWER((N9),3)+Рабочий!$G$11*POWER((N9),2)+Рабочий!$G$12*(N9)+Рабочий!$G$13),IF(N9&lt;=Рабочий!$A$34*0.9,"-",IF(AND(N9&lt;(Рабочий!$A$34*1.1),'HBs,RUBELLA'!N9&gt;(0.9*Рабочий!$A$34)),"сомн.","&gt;160")))),IF(N9&lt;(0.07+AVERAGE($D$20:$D$22)),"-",IF(N9&gt;Рабочий!$E$34,"&gt;150",EXP(Рабочий!$G$8*POWER((N9),5)+Рабочий!$G$9*POWER((N9),4)+Рабочий!$G$10*POWER((N9),3)+Рабочий!$G$11*POWER((N9),2)+Рабочий!$G$12*(N9)+Рабочий!$G$13)))),"     ")</f>
        <v>     </v>
      </c>
      <c r="O24" s="30" t="str">
        <f>IF(AND(ISNUMBER(O9),(Рабочий!$E$17=1)),IF(Рабочий!$F$40=1,(IF(AND(O9&gt;=Рабочий!$A$34*1.1,Рабочий!$E$34&gt;='HBs,RUBELLA'!O9),EXP(Рабочий!$G$8*POWER((O9),5)+Рабочий!$G$9*POWER((O9),4)+Рабочий!$G$10*POWER((O9),3)+Рабочий!$G$11*POWER((O9),2)+Рабочий!$G$12*(O9)+Рабочий!$G$13),IF(O9&lt;=Рабочий!$A$34*0.9,"-",IF(AND(O9&lt;(Рабочий!$A$34*1.1),'HBs,RUBELLA'!O9&gt;(0.9*Рабочий!$A$34)),"сомн.","&gt;160")))),IF(O9&lt;(0.07+AVERAGE($D$20:$D$22)),"-",IF(O9&gt;Рабочий!$E$34,"&gt;150",EXP(Рабочий!$G$8*POWER((O9),5)+Рабочий!$G$9*POWER((O9),4)+Рабочий!$G$10*POWER((O9),3)+Рабочий!$G$11*POWER((O9),2)+Рабочий!$G$12*(O9)+Рабочий!$G$13)))),"     ")</f>
        <v>     </v>
      </c>
      <c r="P24" s="30" t="str">
        <f>IF(AND(ISNUMBER(P9),(Рабочий!$E$17=1)),IF(Рабочий!$F$40=1,(IF(AND(P9&gt;=Рабочий!$A$34*1.1,Рабочий!$E$34&gt;='HBs,RUBELLA'!P9),EXP(Рабочий!$G$8*POWER((P9),5)+Рабочий!$G$9*POWER((P9),4)+Рабочий!$G$10*POWER((P9),3)+Рабочий!$G$11*POWER((P9),2)+Рабочий!$G$12*(P9)+Рабочий!$G$13),IF(P9&lt;=Рабочий!$A$34*0.9,"-",IF(AND(P9&lt;(Рабочий!$A$34*1.1),'HBs,RUBELLA'!P9&gt;(0.9*Рабочий!$A$34)),"сомн.","&gt;160")))),IF(P9&lt;(0.07+AVERAGE($D$20:$D$22)),"-",IF(P9&gt;Рабочий!$E$34,"&gt;150",EXP(Рабочий!$G$8*POWER((P9),5)+Рабочий!$G$9*POWER((P9),4)+Рабочий!$G$10*POWER((P9),3)+Рабочий!$G$11*POWER((P9),2)+Рабочий!$G$12*(P9)+Рабочий!$G$13)))),"     ")</f>
        <v>     </v>
      </c>
      <c r="Q24" s="30" t="str">
        <f>IF(AND(ISNUMBER(Q9),(Рабочий!$E$17=1)),IF(Рабочий!$F$40=1,(IF(AND(Q9&gt;=Рабочий!$A$34*1.1,Рабочий!$E$34&gt;='HBs,RUBELLA'!Q9),EXP(Рабочий!$G$8*POWER((Q9),5)+Рабочий!$G$9*POWER((Q9),4)+Рабочий!$G$10*POWER((Q9),3)+Рабочий!$G$11*POWER((Q9),2)+Рабочий!$G$12*(Q9)+Рабочий!$G$13),IF(Q9&lt;=Рабочий!$A$34*0.9,"-",IF(AND(Q9&lt;(Рабочий!$A$34*1.1),'HBs,RUBELLA'!Q9&gt;(0.9*Рабочий!$A$34)),"сомн.","&gt;160")))),IF(Q9&lt;(0.07+AVERAGE($D$20:$D$22)),"-",IF(Q9&gt;Рабочий!$E$34,"&gt;150",EXP(Рабочий!$G$8*POWER((Q9),5)+Рабочий!$G$9*POWER((Q9),4)+Рабочий!$G$10*POWER((Q9),3)+Рабочий!$G$11*POWER((Q9),2)+Рабочий!$G$12*(Q9)+Рабочий!$G$13)))),"     ")</f>
        <v>     </v>
      </c>
      <c r="R24" s="30" t="str">
        <f>IF(AND(ISNUMBER(R9),(Рабочий!$E$17=1)),IF(Рабочий!$F$40=1,(IF(AND(R9&gt;=Рабочий!$A$34*1.1,Рабочий!$E$34&gt;='HBs,RUBELLA'!R9),EXP(Рабочий!$G$8*POWER((R9),5)+Рабочий!$G$9*POWER((R9),4)+Рабочий!$G$10*POWER((R9),3)+Рабочий!$G$11*POWER((R9),2)+Рабочий!$G$12*(R9)+Рабочий!$G$13),IF(R9&lt;=Рабочий!$A$34*0.9,"-",IF(AND(R9&lt;(Рабочий!$A$34*1.1),'HBs,RUBELLA'!R9&gt;(0.9*Рабочий!$A$34)),"сомн.","&gt;160")))),IF(R9&lt;(0.07+AVERAGE($D$20:$D$22)),"-",IF(R9&gt;Рабочий!$E$34,"&gt;150",EXP(Рабочий!$G$8*POWER((R9),5)+Рабочий!$G$9*POWER((R9),4)+Рабочий!$G$10*POWER((R9),3)+Рабочий!$G$11*POWER((R9),2)+Рабочий!$G$12*(R9)+Рабочий!$G$13)))),"     ")</f>
        <v>     </v>
      </c>
      <c r="S24" s="30" t="str">
        <f>IF(AND(ISNUMBER(S9),(Рабочий!$E$17=1)),IF(Рабочий!$F$40=1,(IF(AND(S9&gt;=Рабочий!$A$34*1.1,Рабочий!$E$34&gt;='HBs,RUBELLA'!S9),EXP(Рабочий!$G$8*POWER((S9),5)+Рабочий!$G$9*POWER((S9),4)+Рабочий!$G$10*POWER((S9),3)+Рабочий!$G$11*POWER((S9),2)+Рабочий!$G$12*(S9)+Рабочий!$G$13),IF(S9&lt;=Рабочий!$A$34*0.9,"-",IF(AND(S9&lt;(Рабочий!$A$34*1.1),'HBs,RUBELLA'!S9&gt;(0.9*Рабочий!$A$34)),"сомн.","&gt;160")))),IF(S9&lt;(0.07+AVERAGE($D$20:$D$22)),"-",IF(S9&gt;Рабочий!$E$34,"&gt;150",EXP(Рабочий!$G$8*POWER((S9),5)+Рабочий!$G$9*POWER((S9),4)+Рабочий!$G$10*POWER((S9),3)+Рабочий!$G$11*POWER((S9),2)+Рабочий!$G$12*(S9)+Рабочий!$G$13)))),"     ")</f>
        <v>     </v>
      </c>
      <c r="T24" s="30" t="str">
        <f>IF(AND(ISNUMBER(T9),(Рабочий!$E$17=1)),IF(Рабочий!$F$40=1,(IF(AND(T9&gt;=Рабочий!$A$34*1.1,Рабочий!$E$34&gt;='HBs,RUBELLA'!T9),EXP(Рабочий!$G$8*POWER((T9),5)+Рабочий!$G$9*POWER((T9),4)+Рабочий!$G$10*POWER((T9),3)+Рабочий!$G$11*POWER((T9),2)+Рабочий!$G$12*(T9)+Рабочий!$G$13),IF(T9&lt;=Рабочий!$A$34*0.9,"-",IF(AND(T9&lt;(Рабочий!$A$34*1.1),'HBs,RUBELLA'!T9&gt;(0.9*Рабочий!$A$34)),"сомн.","&gt;160")))),IF(T9&lt;(0.07+AVERAGE($D$20:$D$22)),"-",IF(T9&gt;Рабочий!$E$34,"&gt;150",EXP(Рабочий!$G$8*POWER((T9),5)+Рабочий!$G$9*POWER((T9),4)+Рабочий!$G$10*POWER((T9),3)+Рабочий!$G$11*POWER((T9),2)+Рабочий!$G$12*(T9)+Рабочий!$G$13)))),"     ")</f>
        <v>     </v>
      </c>
    </row>
    <row r="25" spans="8:20" ht="13.5" thickBot="1">
      <c r="H25" s="11" t="s">
        <v>11</v>
      </c>
      <c r="I25" s="30" t="str">
        <f>IF(AND(ISNUMBER(I10),(Рабочий!$E$17=1)),IF(Рабочий!$F$40=1,(IF(AND(I10&gt;=Рабочий!$A$34*1.1,Рабочий!$E$34&gt;='HBs,RUBELLA'!I10),EXP(Рабочий!$G$8*POWER((I10),5)+Рабочий!$G$9*POWER((I10),4)+Рабочий!$G$10*POWER((I10),3)+Рабочий!$G$11*POWER((I10),2)+Рабочий!$G$12*(I10)+Рабочий!$G$13),IF(I10&lt;=Рабочий!$A$34*0.9,"-",IF(AND(I10&lt;(Рабочий!$A$34*1.1),'HBs,RUBELLA'!I10&gt;(0.9*Рабочий!$A$34)),"сомн.","&gt;160")))),IF(I10&lt;(0.07+AVERAGE($D$20:$D$22)),"-",IF(I10&gt;Рабочий!$E$34,"&gt;150",IF(EXP(Рабочий!$G$8*POWER((I10),5)+Рабочий!$G$9*POWER((I10),4)+Рабочий!$G$10*POWER((I10),3)+Рабочий!$G$11*POWER((I10),2)+Рабочий!$G$12*(I10)+Рабочий!$G$13)&lt;150,EXP(Рабочий!$G$8*POWER((I10),5)+Рабочий!$G$9*POWER((I10),4)+Рабочий!$G$10*POWER((I10),3)+Рабочий!$G$11*POWER((I10),2)+Рабочий!$G$12*(I10)+Рабочий!$G$13),"150")))),"     ")</f>
        <v>     </v>
      </c>
      <c r="J25" s="30" t="str">
        <f>IF(AND(ISNUMBER(J10),(Рабочий!$E$17=1)),IF(Рабочий!$F$40=1,(IF(AND(J10&gt;=Рабочий!$A$34*1.1,Рабочий!$E$34&gt;='HBs,RUBELLA'!J10),EXP(Рабочий!$G$8*POWER((J10),5)+Рабочий!$G$9*POWER((J10),4)+Рабочий!$G$10*POWER((J10),3)+Рабочий!$G$11*POWER((J10),2)+Рабочий!$G$12*(J10)+Рабочий!$G$13),IF(J10&lt;=Рабочий!$A$34*0.9,"-",IF(AND(J10&lt;(Рабочий!$A$34*1.1),'HBs,RUBELLA'!J10&gt;(0.9*Рабочий!$A$34)),"сомн.","&gt;160")))),IF(J10&lt;(0.07+AVERAGE($D$20:$D$22)),"-",IF(J10&gt;Рабочий!$E$34,"&gt;150",IF(EXP(Рабочий!$G$8*POWER((J10),5)+Рабочий!$G$9*POWER((J10),4)+Рабочий!$G$10*POWER((J10),3)+Рабочий!$G$11*POWER((J10),2)+Рабочий!$G$12*(J10)+Рабочий!$G$13)&lt;150,EXP(Рабочий!$G$8*POWER((J10),5)+Рабочий!$G$9*POWER((J10),4)+Рабочий!$G$10*POWER((J10),3)+Рабочий!$G$11*POWER((J10),2)+Рабочий!$G$12*(J10)+Рабочий!$G$13),"150")))),"     ")</f>
        <v>     </v>
      </c>
      <c r="K25" s="30" t="str">
        <f>IF(AND(ISNUMBER(K10),(Рабочий!$E$17=1)),IF(Рабочий!$F$40=1,(IF(AND(K10&gt;=Рабочий!$A$34*1.1,Рабочий!$E$34&gt;='HBs,RUBELLA'!K10),EXP(Рабочий!$G$8*POWER((K10),5)+Рабочий!$G$9*POWER((K10),4)+Рабочий!$G$10*POWER((K10),3)+Рабочий!$G$11*POWER((K10),2)+Рабочий!$G$12*(K10)+Рабочий!$G$13),IF(K10&lt;=Рабочий!$A$34*0.9,"-",IF(AND(K10&lt;(Рабочий!$A$34*1.1),'HBs,RUBELLA'!K10&gt;(0.9*Рабочий!$A$34)),"сомн.","&gt;160")))),IF(K10&lt;(0.07+AVERAGE($D$20:$D$22)),"-",IF(K10&gt;Рабочий!$E$34,"&gt;150",IF(EXP(Рабочий!$G$8*POWER((K10),5)+Рабочий!$G$9*POWER((K10),4)+Рабочий!$G$10*POWER((K10),3)+Рабочий!$G$11*POWER((K10),2)+Рабочий!$G$12*(K10)+Рабочий!$G$13)&lt;150,EXP(Рабочий!$G$8*POWER((K10),5)+Рабочий!$G$9*POWER((K10),4)+Рабочий!$G$10*POWER((K10),3)+Рабочий!$G$11*POWER((K10),2)+Рабочий!$G$12*(K10)+Рабочий!$G$13),"150")))),"     ")</f>
        <v>     </v>
      </c>
      <c r="L25" s="30" t="str">
        <f>IF(AND(ISNUMBER(L10),(Рабочий!$E$17=1)),IF(Рабочий!$F$40=1,(IF(AND(L10&gt;=Рабочий!$A$34*1.1,Рабочий!$E$34&gt;='HBs,RUBELLA'!L10),EXP(Рабочий!$G$8*POWER((L10),5)+Рабочий!$G$9*POWER((L10),4)+Рабочий!$G$10*POWER((L10),3)+Рабочий!$G$11*POWER((L10),2)+Рабочий!$G$12*(L10)+Рабочий!$G$13),IF(L10&lt;=Рабочий!$A$34*0.9,"-",IF(AND(L10&lt;(Рабочий!$A$34*1.1),'HBs,RUBELLA'!L10&gt;(0.9*Рабочий!$A$34)),"сомн.","&gt;160")))),IF(L10&lt;(0.07+AVERAGE($D$20:$D$22)),"-",IF(L10&gt;Рабочий!$E$34,"&gt;150",IF(EXP(Рабочий!$G$8*POWER((L10),5)+Рабочий!$G$9*POWER((L10),4)+Рабочий!$G$10*POWER((L10),3)+Рабочий!$G$11*POWER((L10),2)+Рабочий!$G$12*(L10)+Рабочий!$G$13)&lt;150,EXP(Рабочий!$G$8*POWER((L10),5)+Рабочий!$G$9*POWER((L10),4)+Рабочий!$G$10*POWER((L10),3)+Рабочий!$G$11*POWER((L10),2)+Рабочий!$G$12*(L10)+Рабочий!$G$13),"150")))),"     ")</f>
        <v>     </v>
      </c>
      <c r="M25" s="30" t="str">
        <f>IF(AND(ISNUMBER(M10),(Рабочий!$E$17=1)),IF(Рабочий!$F$40=1,(IF(AND(M10&gt;=Рабочий!$A$34*1.1,Рабочий!$E$34&gt;='HBs,RUBELLA'!M10),EXP(Рабочий!$G$8*POWER((M10),5)+Рабочий!$G$9*POWER((M10),4)+Рабочий!$G$10*POWER((M10),3)+Рабочий!$G$11*POWER((M10),2)+Рабочий!$G$12*(M10)+Рабочий!$G$13),IF(M10&lt;=Рабочий!$A$34*0.9,"-",IF(AND(M10&lt;(Рабочий!$A$34*1.1),'HBs,RUBELLA'!M10&gt;(0.9*Рабочий!$A$34)),"сомн.","&gt;160")))),IF(M10&lt;(0.07+AVERAGE($D$20:$D$22)),"-",IF(M10&gt;Рабочий!$E$34,"&gt;150",IF(EXP(Рабочий!$G$8*POWER((M10),5)+Рабочий!$G$9*POWER((M10),4)+Рабочий!$G$10*POWER((M10),3)+Рабочий!$G$11*POWER((M10),2)+Рабочий!$G$12*(M10)+Рабочий!$G$13)&lt;150,EXP(Рабочий!$G$8*POWER((M10),5)+Рабочий!$G$9*POWER((M10),4)+Рабочий!$G$10*POWER((M10),3)+Рабочий!$G$11*POWER((M10),2)+Рабочий!$G$12*(M10)+Рабочий!$G$13),"150")))),"     ")</f>
        <v>     </v>
      </c>
      <c r="N25" s="30" t="str">
        <f>IF(AND(ISNUMBER(N10),(Рабочий!$E$17=1)),IF(Рабочий!$F$40=1,(IF(AND(N10&gt;=Рабочий!$A$34*1.1,Рабочий!$E$34&gt;='HBs,RUBELLA'!N10),EXP(Рабочий!$G$8*POWER((N10),5)+Рабочий!$G$9*POWER((N10),4)+Рабочий!$G$10*POWER((N10),3)+Рабочий!$G$11*POWER((N10),2)+Рабочий!$G$12*(N10)+Рабочий!$G$13),IF(N10&lt;=Рабочий!$A$34*0.9,"-",IF(AND(N10&lt;(Рабочий!$A$34*1.1),'HBs,RUBELLA'!N10&gt;(0.9*Рабочий!$A$34)),"сомн.","&gt;160")))),IF(N10&lt;(0.07+AVERAGE($D$20:$D$22)),"-",IF(N10&gt;Рабочий!$E$34,"&gt;150",EXP(Рабочий!$G$8*POWER((N10),5)+Рабочий!$G$9*POWER((N10),4)+Рабочий!$G$10*POWER((N10),3)+Рабочий!$G$11*POWER((N10),2)+Рабочий!$G$12*(N10)+Рабочий!$G$13)))),"     ")</f>
        <v>     </v>
      </c>
      <c r="O25" s="30" t="str">
        <f>IF(AND(ISNUMBER(O10),(Рабочий!$E$17=1)),IF(Рабочий!$F$40=1,(IF(AND(O10&gt;=Рабочий!$A$34*1.1,Рабочий!$E$34&gt;='HBs,RUBELLA'!O10),EXP(Рабочий!$G$8*POWER((O10),5)+Рабочий!$G$9*POWER((O10),4)+Рабочий!$G$10*POWER((O10),3)+Рабочий!$G$11*POWER((O10),2)+Рабочий!$G$12*(O10)+Рабочий!$G$13),IF(O10&lt;=Рабочий!$A$34*0.9,"-",IF(AND(O10&lt;(Рабочий!$A$34*1.1),'HBs,RUBELLA'!O10&gt;(0.9*Рабочий!$A$34)),"сомн.","&gt;160")))),IF(O10&lt;(0.07+AVERAGE($D$20:$D$22)),"-",IF(O10&gt;Рабочий!$E$34,"&gt;150",EXP(Рабочий!$G$8*POWER((O10),5)+Рабочий!$G$9*POWER((O10),4)+Рабочий!$G$10*POWER((O10),3)+Рабочий!$G$11*POWER((O10),2)+Рабочий!$G$12*(O10)+Рабочий!$G$13)))),"     ")</f>
        <v>     </v>
      </c>
      <c r="P25" s="30" t="str">
        <f>IF(AND(ISNUMBER(P10),(Рабочий!$E$17=1)),IF(Рабочий!$F$40=1,(IF(AND(P10&gt;=Рабочий!$A$34*1.1,Рабочий!$E$34&gt;='HBs,RUBELLA'!P10),EXP(Рабочий!$G$8*POWER((P10),5)+Рабочий!$G$9*POWER((P10),4)+Рабочий!$G$10*POWER((P10),3)+Рабочий!$G$11*POWER((P10),2)+Рабочий!$G$12*(P10)+Рабочий!$G$13),IF(P10&lt;=Рабочий!$A$34*0.9,"-",IF(AND(P10&lt;(Рабочий!$A$34*1.1),'HBs,RUBELLA'!P10&gt;(0.9*Рабочий!$A$34)),"сомн.","&gt;160")))),IF(P10&lt;(0.07+AVERAGE($D$20:$D$22)),"-",IF(P10&gt;Рабочий!$E$34,"&gt;150",EXP(Рабочий!$G$8*POWER((P10),5)+Рабочий!$G$9*POWER((P10),4)+Рабочий!$G$10*POWER((P10),3)+Рабочий!$G$11*POWER((P10),2)+Рабочий!$G$12*(P10)+Рабочий!$G$13)))),"     ")</f>
        <v>     </v>
      </c>
      <c r="Q25" s="30" t="str">
        <f>IF(AND(ISNUMBER(Q10),(Рабочий!$E$17=1)),IF(Рабочий!$F$40=1,(IF(AND(Q10&gt;=Рабочий!$A$34*1.1,Рабочий!$E$34&gt;='HBs,RUBELLA'!Q10),EXP(Рабочий!$G$8*POWER((Q10),5)+Рабочий!$G$9*POWER((Q10),4)+Рабочий!$G$10*POWER((Q10),3)+Рабочий!$G$11*POWER((Q10),2)+Рабочий!$G$12*(Q10)+Рабочий!$G$13),IF(Q10&lt;=Рабочий!$A$34*0.9,"-",IF(AND(Q10&lt;(Рабочий!$A$34*1.1),'HBs,RUBELLA'!Q10&gt;(0.9*Рабочий!$A$34)),"сомн.","&gt;160")))),IF(Q10&lt;(0.07+AVERAGE($D$20:$D$22)),"-",IF(Q10&gt;Рабочий!$E$34,"&gt;150",EXP(Рабочий!$G$8*POWER((Q10),5)+Рабочий!$G$9*POWER((Q10),4)+Рабочий!$G$10*POWER((Q10),3)+Рабочий!$G$11*POWER((Q10),2)+Рабочий!$G$12*(Q10)+Рабочий!$G$13)))),"     ")</f>
        <v>     </v>
      </c>
      <c r="R25" s="30" t="str">
        <f>IF(AND(ISNUMBER(R10),(Рабочий!$E$17=1)),IF(Рабочий!$F$40=1,(IF(AND(R10&gt;=Рабочий!$A$34*1.1,Рабочий!$E$34&gt;='HBs,RUBELLA'!R10),EXP(Рабочий!$G$8*POWER((R10),5)+Рабочий!$G$9*POWER((R10),4)+Рабочий!$G$10*POWER((R10),3)+Рабочий!$G$11*POWER((R10),2)+Рабочий!$G$12*(R10)+Рабочий!$G$13),IF(R10&lt;=Рабочий!$A$34*0.9,"-",IF(AND(R10&lt;(Рабочий!$A$34*1.1),'HBs,RUBELLA'!R10&gt;(0.9*Рабочий!$A$34)),"сомн.","&gt;160")))),IF(R10&lt;(0.07+AVERAGE($D$20:$D$22)),"-",IF(R10&gt;Рабочий!$E$34,"&gt;150",EXP(Рабочий!$G$8*POWER((R10),5)+Рабочий!$G$9*POWER((R10),4)+Рабочий!$G$10*POWER((R10),3)+Рабочий!$G$11*POWER((R10),2)+Рабочий!$G$12*(R10)+Рабочий!$G$13)))),"     ")</f>
        <v>     </v>
      </c>
      <c r="S25" s="30" t="str">
        <f>IF(AND(ISNUMBER(S10),(Рабочий!$E$17=1)),IF(Рабочий!$F$40=1,(IF(AND(S10&gt;=Рабочий!$A$34*1.1,Рабочий!$E$34&gt;='HBs,RUBELLA'!S10),EXP(Рабочий!$G$8*POWER((S10),5)+Рабочий!$G$9*POWER((S10),4)+Рабочий!$G$10*POWER((S10),3)+Рабочий!$G$11*POWER((S10),2)+Рабочий!$G$12*(S10)+Рабочий!$G$13),IF(S10&lt;=Рабочий!$A$34*0.9,"-",IF(AND(S10&lt;(Рабочий!$A$34*1.1),'HBs,RUBELLA'!S10&gt;(0.9*Рабочий!$A$34)),"сомн.","&gt;160")))),IF(S10&lt;(0.07+AVERAGE($D$20:$D$22)),"-",IF(S10&gt;Рабочий!$E$34,"&gt;150",EXP(Рабочий!$G$8*POWER((S10),5)+Рабочий!$G$9*POWER((S10),4)+Рабочий!$G$10*POWER((S10),3)+Рабочий!$G$11*POWER((S10),2)+Рабочий!$G$12*(S10)+Рабочий!$G$13)))),"     ")</f>
        <v>     </v>
      </c>
      <c r="T25" s="30" t="str">
        <f>IF(AND(ISNUMBER(T10),(Рабочий!$E$17=1)),IF(Рабочий!$F$40=1,(IF(AND(T10&gt;=Рабочий!$A$34*1.1,Рабочий!$E$34&gt;='HBs,RUBELLA'!T10),EXP(Рабочий!$G$8*POWER((T10),5)+Рабочий!$G$9*POWER((T10),4)+Рабочий!$G$10*POWER((T10),3)+Рабочий!$G$11*POWER((T10),2)+Рабочий!$G$12*(T10)+Рабочий!$G$13),IF(T10&lt;=Рабочий!$A$34*0.9,"-",IF(AND(T10&lt;(Рабочий!$A$34*1.1),'HBs,RUBELLA'!T10&gt;(0.9*Рабочий!$A$34)),"сомн.","&gt;160")))),IF(T10&lt;(0.07+AVERAGE($D$20:$D$22)),"-",IF(T10&gt;Рабочий!$E$34,"&gt;150",EXP(Рабочий!$G$8*POWER((T10),5)+Рабочий!$G$9*POWER((T10),4)+Рабочий!$G$10*POWER((T10),3)+Рабочий!$G$11*POWER((T10),2)+Рабочий!$G$12*(T10)+Рабочий!$G$13)))),"     ")</f>
        <v>     </v>
      </c>
    </row>
    <row r="26" spans="8:20" ht="12.75" customHeight="1" thickBot="1">
      <c r="H26" s="11" t="s">
        <v>12</v>
      </c>
      <c r="I26" s="30" t="str">
        <f>IF(AND(ISNUMBER(I11),(Рабочий!$E$17=1)),IF(Рабочий!$F$40=1,(IF(AND(I11&gt;=Рабочий!$A$34*1.1,Рабочий!$E$34&gt;='HBs,RUBELLA'!I11),EXP(Рабочий!$G$8*POWER((I11),5)+Рабочий!$G$9*POWER((I11),4)+Рабочий!$G$10*POWER((I11),3)+Рабочий!$G$11*POWER((I11),2)+Рабочий!$G$12*(I11)+Рабочий!$G$13),IF(I11&lt;=Рабочий!$A$34*0.9,"-",IF(AND(I11&lt;(Рабочий!$A$34*1.1),'HBs,RUBELLA'!I11&gt;(0.9*Рабочий!$A$34)),"сомн.","&gt;160")))),IF(I11&lt;(0.07+AVERAGE($D$20:$D$22)),"-",IF(I11&gt;Рабочий!$E$34,"&gt;150",IF(EXP(Рабочий!$G$8*POWER((I11),5)+Рабочий!$G$9*POWER((I11),4)+Рабочий!$G$10*POWER((I11),3)+Рабочий!$G$11*POWER((I11),2)+Рабочий!$G$12*(I11)+Рабочий!$G$13)&lt;150,EXP(Рабочий!$G$8*POWER((I11),5)+Рабочий!$G$9*POWER((I11),4)+Рабочий!$G$10*POWER((I11),3)+Рабочий!$G$11*POWER((I11),2)+Рабочий!$G$12*(I11)+Рабочий!$G$13),"150")))),"     ")</f>
        <v>     </v>
      </c>
      <c r="J26" s="30" t="str">
        <f>IF(AND(ISNUMBER(J11),(Рабочий!$E$17=1)),IF(Рабочий!$F$40=1,(IF(AND(J11&gt;=Рабочий!$A$34*1.1,Рабочий!$E$34&gt;='HBs,RUBELLA'!J11),EXP(Рабочий!$G$8*POWER((J11),5)+Рабочий!$G$9*POWER((J11),4)+Рабочий!$G$10*POWER((J11),3)+Рабочий!$G$11*POWER((J11),2)+Рабочий!$G$12*(J11)+Рабочий!$G$13),IF(J11&lt;=Рабочий!$A$34*0.9,"-",IF(AND(J11&lt;(Рабочий!$A$34*1.1),'HBs,RUBELLA'!J11&gt;(0.9*Рабочий!$A$34)),"сомн.","&gt;160")))),IF(J11&lt;(0.07+AVERAGE($D$20:$D$22)),"-",IF(J11&gt;Рабочий!$E$34,"&gt;150",IF(EXP(Рабочий!$G$8*POWER((J11),5)+Рабочий!$G$9*POWER((J11),4)+Рабочий!$G$10*POWER((J11),3)+Рабочий!$G$11*POWER((J11),2)+Рабочий!$G$12*(J11)+Рабочий!$G$13)&lt;150,EXP(Рабочий!$G$8*POWER((J11),5)+Рабочий!$G$9*POWER((J11),4)+Рабочий!$G$10*POWER((J11),3)+Рабочий!$G$11*POWER((J11),2)+Рабочий!$G$12*(J11)+Рабочий!$G$13),"150")))),"     ")</f>
        <v>     </v>
      </c>
      <c r="K26" s="30" t="str">
        <f>IF(AND(ISNUMBER(K11),(Рабочий!$E$17=1)),IF(Рабочий!$F$40=1,(IF(AND(K11&gt;=Рабочий!$A$34*1.1,Рабочий!$E$34&gt;='HBs,RUBELLA'!K11),EXP(Рабочий!$G$8*POWER((K11),5)+Рабочий!$G$9*POWER((K11),4)+Рабочий!$G$10*POWER((K11),3)+Рабочий!$G$11*POWER((K11),2)+Рабочий!$G$12*(K11)+Рабочий!$G$13),IF(K11&lt;=Рабочий!$A$34*0.9,"-",IF(AND(K11&lt;(Рабочий!$A$34*1.1),'HBs,RUBELLA'!K11&gt;(0.9*Рабочий!$A$34)),"сомн.","&gt;160")))),IF(K11&lt;(0.07+AVERAGE($D$20:$D$22)),"-",IF(K11&gt;Рабочий!$E$34,"&gt;150",IF(EXP(Рабочий!$G$8*POWER((K11),5)+Рабочий!$G$9*POWER((K11),4)+Рабочий!$G$10*POWER((K11),3)+Рабочий!$G$11*POWER((K11),2)+Рабочий!$G$12*(K11)+Рабочий!$G$13)&lt;150,EXP(Рабочий!$G$8*POWER((K11),5)+Рабочий!$G$9*POWER((K11),4)+Рабочий!$G$10*POWER((K11),3)+Рабочий!$G$11*POWER((K11),2)+Рабочий!$G$12*(K11)+Рабочий!$G$13),"150")))),"     ")</f>
        <v>     </v>
      </c>
      <c r="L26" s="30" t="str">
        <f>IF(AND(ISNUMBER(L11),(Рабочий!$E$17=1)),IF(Рабочий!$F$40=1,(IF(AND(L11&gt;=Рабочий!$A$34*1.1,Рабочий!$E$34&gt;='HBs,RUBELLA'!L11),EXP(Рабочий!$G$8*POWER((L11),5)+Рабочий!$G$9*POWER((L11),4)+Рабочий!$G$10*POWER((L11),3)+Рабочий!$G$11*POWER((L11),2)+Рабочий!$G$12*(L11)+Рабочий!$G$13),IF(L11&lt;=Рабочий!$A$34*0.9,"-",IF(AND(L11&lt;(Рабочий!$A$34*1.1),'HBs,RUBELLA'!L11&gt;(0.9*Рабочий!$A$34)),"сомн.","&gt;160")))),IF(L11&lt;(0.07+AVERAGE($D$20:$D$22)),"-",IF(L11&gt;Рабочий!$E$34,"&gt;150",IF(EXP(Рабочий!$G$8*POWER((L11),5)+Рабочий!$G$9*POWER((L11),4)+Рабочий!$G$10*POWER((L11),3)+Рабочий!$G$11*POWER((L11),2)+Рабочий!$G$12*(L11)+Рабочий!$G$13)&lt;150,EXP(Рабочий!$G$8*POWER((L11),5)+Рабочий!$G$9*POWER((L11),4)+Рабочий!$G$10*POWER((L11),3)+Рабочий!$G$11*POWER((L11),2)+Рабочий!$G$12*(L11)+Рабочий!$G$13),"150")))),"     ")</f>
        <v>     </v>
      </c>
      <c r="M26" s="30" t="str">
        <f>IF(AND(ISNUMBER(M11),(Рабочий!$E$17=1)),IF(Рабочий!$F$40=1,(IF(AND(M11&gt;=Рабочий!$A$34*1.1,Рабочий!$E$34&gt;='HBs,RUBELLA'!M11),EXP(Рабочий!$G$8*POWER((M11),5)+Рабочий!$G$9*POWER((M11),4)+Рабочий!$G$10*POWER((M11),3)+Рабочий!$G$11*POWER((M11),2)+Рабочий!$G$12*(M11)+Рабочий!$G$13),IF(M11&lt;=Рабочий!$A$34*0.9,"-",IF(AND(M11&lt;(Рабочий!$A$34*1.1),'HBs,RUBELLA'!M11&gt;(0.9*Рабочий!$A$34)),"сомн.","&gt;160")))),IF(M11&lt;(0.07+AVERAGE($D$20:$D$22)),"-",IF(M11&gt;Рабочий!$E$34,"&gt;150",IF(EXP(Рабочий!$G$8*POWER((M11),5)+Рабочий!$G$9*POWER((M11),4)+Рабочий!$G$10*POWER((M11),3)+Рабочий!$G$11*POWER((M11),2)+Рабочий!$G$12*(M11)+Рабочий!$G$13)&lt;150,EXP(Рабочий!$G$8*POWER((M11),5)+Рабочий!$G$9*POWER((M11),4)+Рабочий!$G$10*POWER((M11),3)+Рабочий!$G$11*POWER((M11),2)+Рабочий!$G$12*(M11)+Рабочий!$G$13),"150")))),"     ")</f>
        <v>     </v>
      </c>
      <c r="N26" s="30" t="str">
        <f>IF(AND(ISNUMBER(N11),(Рабочий!$E$17=1)),IF(Рабочий!$F$40=1,(IF(AND(N11&gt;=Рабочий!$A$34*1.1,Рабочий!$E$34&gt;='HBs,RUBELLA'!N11),EXP(Рабочий!$G$8*POWER((N11),5)+Рабочий!$G$9*POWER((N11),4)+Рабочий!$G$10*POWER((N11),3)+Рабочий!$G$11*POWER((N11),2)+Рабочий!$G$12*(N11)+Рабочий!$G$13),IF(N11&lt;=Рабочий!$A$34*0.9,"-",IF(AND(N11&lt;(Рабочий!$A$34*1.1),'HBs,RUBELLA'!N11&gt;(0.9*Рабочий!$A$34)),"сомн.","&gt;160")))),IF(N11&lt;(0.07+AVERAGE($D$20:$D$22)),"-",IF(N11&gt;Рабочий!$E$34,"&gt;150",EXP(Рабочий!$G$8*POWER((N11),5)+Рабочий!$G$9*POWER((N11),4)+Рабочий!$G$10*POWER((N11),3)+Рабочий!$G$11*POWER((N11),2)+Рабочий!$G$12*(N11)+Рабочий!$G$13)))),"     ")</f>
        <v>     </v>
      </c>
      <c r="O26" s="30" t="str">
        <f>IF(AND(ISNUMBER(O11),(Рабочий!$E$17=1)),IF(Рабочий!$F$40=1,(IF(AND(O11&gt;=Рабочий!$A$34*1.1,Рабочий!$E$34&gt;='HBs,RUBELLA'!O11),EXP(Рабочий!$G$8*POWER((O11),5)+Рабочий!$G$9*POWER((O11),4)+Рабочий!$G$10*POWER((O11),3)+Рабочий!$G$11*POWER((O11),2)+Рабочий!$G$12*(O11)+Рабочий!$G$13),IF(O11&lt;=Рабочий!$A$34*0.9,"-",IF(AND(O11&lt;(Рабочий!$A$34*1.1),'HBs,RUBELLA'!O11&gt;(0.9*Рабочий!$A$34)),"сомн.","&gt;160")))),IF(O11&lt;(0.07+AVERAGE($D$20:$D$22)),"-",IF(O11&gt;Рабочий!$E$34,"&gt;150",EXP(Рабочий!$G$8*POWER((O11),5)+Рабочий!$G$9*POWER((O11),4)+Рабочий!$G$10*POWER((O11),3)+Рабочий!$G$11*POWER((O11),2)+Рабочий!$G$12*(O11)+Рабочий!$G$13)))),"     ")</f>
        <v>     </v>
      </c>
      <c r="P26" s="30" t="str">
        <f>IF(AND(ISNUMBER(P11),(Рабочий!$E$17=1)),IF(Рабочий!$F$40=1,(IF(AND(P11&gt;=Рабочий!$A$34*1.1,Рабочий!$E$34&gt;='HBs,RUBELLA'!P11),EXP(Рабочий!$G$8*POWER((P11),5)+Рабочий!$G$9*POWER((P11),4)+Рабочий!$G$10*POWER((P11),3)+Рабочий!$G$11*POWER((P11),2)+Рабочий!$G$12*(P11)+Рабочий!$G$13),IF(P11&lt;=Рабочий!$A$34*0.9,"-",IF(AND(P11&lt;(Рабочий!$A$34*1.1),'HBs,RUBELLA'!P11&gt;(0.9*Рабочий!$A$34)),"сомн.","&gt;160")))),IF(P11&lt;(0.07+AVERAGE($D$20:$D$22)),"-",IF(P11&gt;Рабочий!$E$34,"&gt;150",EXP(Рабочий!$G$8*POWER((P11),5)+Рабочий!$G$9*POWER((P11),4)+Рабочий!$G$10*POWER((P11),3)+Рабочий!$G$11*POWER((P11),2)+Рабочий!$G$12*(P11)+Рабочий!$G$13)))),"     ")</f>
        <v>     </v>
      </c>
      <c r="Q26" s="30" t="str">
        <f>IF(AND(ISNUMBER(Q11),(Рабочий!$E$17=1)),IF(Рабочий!$F$40=1,(IF(AND(Q11&gt;=Рабочий!$A$34*1.1,Рабочий!$E$34&gt;='HBs,RUBELLA'!Q11),EXP(Рабочий!$G$8*POWER((Q11),5)+Рабочий!$G$9*POWER((Q11),4)+Рабочий!$G$10*POWER((Q11),3)+Рабочий!$G$11*POWER((Q11),2)+Рабочий!$G$12*(Q11)+Рабочий!$G$13),IF(Q11&lt;=Рабочий!$A$34*0.9,"-",IF(AND(Q11&lt;(Рабочий!$A$34*1.1),'HBs,RUBELLA'!Q11&gt;(0.9*Рабочий!$A$34)),"сомн.","&gt;160")))),IF(Q11&lt;(0.07+AVERAGE($D$20:$D$22)),"-",IF(Q11&gt;Рабочий!$E$34,"&gt;150",EXP(Рабочий!$G$8*POWER((Q11),5)+Рабочий!$G$9*POWER((Q11),4)+Рабочий!$G$10*POWER((Q11),3)+Рабочий!$G$11*POWER((Q11),2)+Рабочий!$G$12*(Q11)+Рабочий!$G$13)))),"     ")</f>
        <v>     </v>
      </c>
      <c r="R26" s="30" t="str">
        <f>IF(AND(ISNUMBER(R11),(Рабочий!$E$17=1)),IF(Рабочий!$F$40=1,(IF(AND(R11&gt;=Рабочий!$A$34*1.1,Рабочий!$E$34&gt;='HBs,RUBELLA'!R11),EXP(Рабочий!$G$8*POWER((R11),5)+Рабочий!$G$9*POWER((R11),4)+Рабочий!$G$10*POWER((R11),3)+Рабочий!$G$11*POWER((R11),2)+Рабочий!$G$12*(R11)+Рабочий!$G$13),IF(R11&lt;=Рабочий!$A$34*0.9,"-",IF(AND(R11&lt;(Рабочий!$A$34*1.1),'HBs,RUBELLA'!R11&gt;(0.9*Рабочий!$A$34)),"сомн.","&gt;160")))),IF(R11&lt;(0.07+AVERAGE($D$20:$D$22)),"-",IF(R11&gt;Рабочий!$E$34,"&gt;150",EXP(Рабочий!$G$8*POWER((R11),5)+Рабочий!$G$9*POWER((R11),4)+Рабочий!$G$10*POWER((R11),3)+Рабочий!$G$11*POWER((R11),2)+Рабочий!$G$12*(R11)+Рабочий!$G$13)))),"     ")</f>
        <v>     </v>
      </c>
      <c r="S26" s="30" t="str">
        <f>IF(AND(ISNUMBER(S11),(Рабочий!$E$17=1)),IF(Рабочий!$F$40=1,(IF(AND(S11&gt;=Рабочий!$A$34*1.1,Рабочий!$E$34&gt;='HBs,RUBELLA'!S11),EXP(Рабочий!$G$8*POWER((S11),5)+Рабочий!$G$9*POWER((S11),4)+Рабочий!$G$10*POWER((S11),3)+Рабочий!$G$11*POWER((S11),2)+Рабочий!$G$12*(S11)+Рабочий!$G$13),IF(S11&lt;=Рабочий!$A$34*0.9,"-",IF(AND(S11&lt;(Рабочий!$A$34*1.1),'HBs,RUBELLA'!S11&gt;(0.9*Рабочий!$A$34)),"сомн.","&gt;160")))),IF(S11&lt;(0.07+AVERAGE($D$20:$D$22)),"-",IF(S11&gt;Рабочий!$E$34,"&gt;150",EXP(Рабочий!$G$8*POWER((S11),5)+Рабочий!$G$9*POWER((S11),4)+Рабочий!$G$10*POWER((S11),3)+Рабочий!$G$11*POWER((S11),2)+Рабочий!$G$12*(S11)+Рабочий!$G$13)))),"     ")</f>
        <v>     </v>
      </c>
      <c r="T26" s="30" t="str">
        <f>IF(AND(ISNUMBER(T11),(Рабочий!$E$17=1)),IF(Рабочий!$F$40=1,(IF(AND(T11&gt;=Рабочий!$A$34*1.1,Рабочий!$E$34&gt;='HBs,RUBELLA'!T11),EXP(Рабочий!$G$8*POWER((T11),5)+Рабочий!$G$9*POWER((T11),4)+Рабочий!$G$10*POWER((T11),3)+Рабочий!$G$11*POWER((T11),2)+Рабочий!$G$12*(T11)+Рабочий!$G$13),IF(T11&lt;=Рабочий!$A$34*0.9,"-",IF(AND(T11&lt;(Рабочий!$A$34*1.1),'HBs,RUBELLA'!T11&gt;(0.9*Рабочий!$A$34)),"сомн.","&gt;160")))),IF(T11&lt;(0.07+AVERAGE($D$20:$D$22)),"-",IF(T11&gt;Рабочий!$E$34,"&gt;150",EXP(Рабочий!$G$8*POWER((T11),5)+Рабочий!$G$9*POWER((T11),4)+Рабочий!$G$10*POWER((T11),3)+Рабочий!$G$11*POWER((T11),2)+Рабочий!$G$12*(T11)+Рабочий!$G$13)))),"     ")</f>
        <v>     </v>
      </c>
    </row>
    <row r="27" spans="6:20" ht="13.5" thickBot="1">
      <c r="F27" s="7"/>
      <c r="H27" s="11" t="s">
        <v>13</v>
      </c>
      <c r="I27" s="30" t="str">
        <f>IF(AND(ISNUMBER(I12),(Рабочий!$E$17=1)),IF(Рабочий!$F$40=1,(IF(AND(I12&gt;=Рабочий!$A$34*1.1,Рабочий!$E$34&gt;='HBs,RUBELLA'!I12),EXP(Рабочий!$G$8*POWER((I12),5)+Рабочий!$G$9*POWER((I12),4)+Рабочий!$G$10*POWER((I12),3)+Рабочий!$G$11*POWER((I12),2)+Рабочий!$G$12*(I12)+Рабочий!$G$13),IF(I12&lt;=Рабочий!$A$34*0.9,"-",IF(AND(I12&lt;(Рабочий!$A$34*1.1),'HBs,RUBELLA'!I12&gt;(0.9*Рабочий!$A$34)),"сомн.","&gt;160")))),IF(I12&lt;(0.07+AVERAGE($D$20:$D$22)),"-",IF(I12&gt;Рабочий!$E$34,"&gt;150",IF(EXP(Рабочий!$G$8*POWER((I12),5)+Рабочий!$G$9*POWER((I12),4)+Рабочий!$G$10*POWER((I12),3)+Рабочий!$G$11*POWER((I12),2)+Рабочий!$G$12*(I12)+Рабочий!$G$13)&lt;150,EXP(Рабочий!$G$8*POWER((I12),5)+Рабочий!$G$9*POWER((I12),4)+Рабочий!$G$10*POWER((I12),3)+Рабочий!$G$11*POWER((I12),2)+Рабочий!$G$12*(I12)+Рабочий!$G$13),"150")))),"     ")</f>
        <v>     </v>
      </c>
      <c r="J27" s="30" t="str">
        <f>IF(AND(ISNUMBER(J12),(Рабочий!$E$17=1)),IF(Рабочий!$F$40=1,(IF(AND(J12&gt;=Рабочий!$A$34*1.1,Рабочий!$E$34&gt;='HBs,RUBELLA'!J12),EXP(Рабочий!$G$8*POWER((J12),5)+Рабочий!$G$9*POWER((J12),4)+Рабочий!$G$10*POWER((J12),3)+Рабочий!$G$11*POWER((J12),2)+Рабочий!$G$12*(J12)+Рабочий!$G$13),IF(J12&lt;=Рабочий!$A$34*0.9,"-",IF(AND(J12&lt;(Рабочий!$A$34*1.1),'HBs,RUBELLA'!J12&gt;(0.9*Рабочий!$A$34)),"сомн.","&gt;160")))),IF(J12&lt;(0.07+AVERAGE($D$20:$D$22)),"-",IF(J12&gt;Рабочий!$E$34,"&gt;150",IF(EXP(Рабочий!$G$8*POWER((J12),5)+Рабочий!$G$9*POWER((J12),4)+Рабочий!$G$10*POWER((J12),3)+Рабочий!$G$11*POWER((J12),2)+Рабочий!$G$12*(J12)+Рабочий!$G$13)&lt;150,EXP(Рабочий!$G$8*POWER((J12),5)+Рабочий!$G$9*POWER((J12),4)+Рабочий!$G$10*POWER((J12),3)+Рабочий!$G$11*POWER((J12),2)+Рабочий!$G$12*(J12)+Рабочий!$G$13),"150")))),"     ")</f>
        <v>     </v>
      </c>
      <c r="K27" s="30" t="str">
        <f>IF(AND(ISNUMBER(K12),(Рабочий!$E$17=1)),IF(Рабочий!$F$40=1,(IF(AND(K12&gt;=Рабочий!$A$34*1.1,Рабочий!$E$34&gt;='HBs,RUBELLA'!K12),EXP(Рабочий!$G$8*POWER((K12),5)+Рабочий!$G$9*POWER((K12),4)+Рабочий!$G$10*POWER((K12),3)+Рабочий!$G$11*POWER((K12),2)+Рабочий!$G$12*(K12)+Рабочий!$G$13),IF(K12&lt;=Рабочий!$A$34*0.9,"-",IF(AND(K12&lt;(Рабочий!$A$34*1.1),'HBs,RUBELLA'!K12&gt;(0.9*Рабочий!$A$34)),"сомн.","&gt;160")))),IF(K12&lt;(0.07+AVERAGE($D$20:$D$22)),"-",IF(K12&gt;Рабочий!$E$34,"&gt;150",IF(EXP(Рабочий!$G$8*POWER((K12),5)+Рабочий!$G$9*POWER((K12),4)+Рабочий!$G$10*POWER((K12),3)+Рабочий!$G$11*POWER((K12),2)+Рабочий!$G$12*(K12)+Рабочий!$G$13)&lt;150,EXP(Рабочий!$G$8*POWER((K12),5)+Рабочий!$G$9*POWER((K12),4)+Рабочий!$G$10*POWER((K12),3)+Рабочий!$G$11*POWER((K12),2)+Рабочий!$G$12*(K12)+Рабочий!$G$13),"150")))),"     ")</f>
        <v>     </v>
      </c>
      <c r="L27" s="30" t="str">
        <f>IF(AND(ISNUMBER(L12),(Рабочий!$E$17=1)),IF(Рабочий!$F$40=1,(IF(AND(L12&gt;=Рабочий!$A$34*1.1,Рабочий!$E$34&gt;='HBs,RUBELLA'!L12),EXP(Рабочий!$G$8*POWER((L12),5)+Рабочий!$G$9*POWER((L12),4)+Рабочий!$G$10*POWER((L12),3)+Рабочий!$G$11*POWER((L12),2)+Рабочий!$G$12*(L12)+Рабочий!$G$13),IF(L12&lt;=Рабочий!$A$34*0.9,"-",IF(AND(L12&lt;(Рабочий!$A$34*1.1),'HBs,RUBELLA'!L12&gt;(0.9*Рабочий!$A$34)),"сомн.","&gt;160")))),IF(L12&lt;(0.07+AVERAGE($D$20:$D$22)),"-",IF(L12&gt;Рабочий!$E$34,"&gt;150",IF(EXP(Рабочий!$G$8*POWER((L12),5)+Рабочий!$G$9*POWER((L12),4)+Рабочий!$G$10*POWER((L12),3)+Рабочий!$G$11*POWER((L12),2)+Рабочий!$G$12*(L12)+Рабочий!$G$13)&lt;150,EXP(Рабочий!$G$8*POWER((L12),5)+Рабочий!$G$9*POWER((L12),4)+Рабочий!$G$10*POWER((L12),3)+Рабочий!$G$11*POWER((L12),2)+Рабочий!$G$12*(L12)+Рабочий!$G$13),"150")))),"     ")</f>
        <v>     </v>
      </c>
      <c r="M27" s="30" t="str">
        <f>IF(AND(ISNUMBER(M12),(Рабочий!$E$17=1)),IF(Рабочий!$F$40=1,(IF(AND(M12&gt;=Рабочий!$A$34*1.1,Рабочий!$E$34&gt;='HBs,RUBELLA'!M12),EXP(Рабочий!$G$8*POWER((M12),5)+Рабочий!$G$9*POWER((M12),4)+Рабочий!$G$10*POWER((M12),3)+Рабочий!$G$11*POWER((M12),2)+Рабочий!$G$12*(M12)+Рабочий!$G$13),IF(M12&lt;=Рабочий!$A$34*0.9,"-",IF(AND(M12&lt;(Рабочий!$A$34*1.1),'HBs,RUBELLA'!M12&gt;(0.9*Рабочий!$A$34)),"сомн.","&gt;160")))),IF(M12&lt;(0.07+AVERAGE($D$20:$D$22)),"-",IF(M12&gt;Рабочий!$E$34,"&gt;150",IF(EXP(Рабочий!$G$8*POWER((M12),5)+Рабочий!$G$9*POWER((M12),4)+Рабочий!$G$10*POWER((M12),3)+Рабочий!$G$11*POWER((M12),2)+Рабочий!$G$12*(M12)+Рабочий!$G$13)&lt;150,EXP(Рабочий!$G$8*POWER((M12),5)+Рабочий!$G$9*POWER((M12),4)+Рабочий!$G$10*POWER((M12),3)+Рабочий!$G$11*POWER((M12),2)+Рабочий!$G$12*(M12)+Рабочий!$G$13),"150")))),"     ")</f>
        <v>     </v>
      </c>
      <c r="N27" s="30" t="str">
        <f>IF(AND(ISNUMBER(N12),(Рабочий!$E$17=1)),IF(Рабочий!$F$40=1,(IF(AND(N12&gt;=Рабочий!$A$34*1.1,Рабочий!$E$34&gt;='HBs,RUBELLA'!N12),EXP(Рабочий!$G$8*POWER((N12),5)+Рабочий!$G$9*POWER((N12),4)+Рабочий!$G$10*POWER((N12),3)+Рабочий!$G$11*POWER((N12),2)+Рабочий!$G$12*(N12)+Рабочий!$G$13),IF(N12&lt;=Рабочий!$A$34*0.9,"-",IF(AND(N12&lt;(Рабочий!$A$34*1.1),'HBs,RUBELLA'!N12&gt;(0.9*Рабочий!$A$34)),"сомн.","&gt;160")))),IF(N12&lt;(0.07+AVERAGE($D$20:$D$22)),"-",IF(N12&gt;Рабочий!$E$34,"&gt;150",EXP(Рабочий!$G$8*POWER((N12),5)+Рабочий!$G$9*POWER((N12),4)+Рабочий!$G$10*POWER((N12),3)+Рабочий!$G$11*POWER((N12),2)+Рабочий!$G$12*(N12)+Рабочий!$G$13)))),"     ")</f>
        <v>     </v>
      </c>
      <c r="O27" s="30" t="str">
        <f>IF(AND(ISNUMBER(O12),(Рабочий!$E$17=1)),IF(Рабочий!$F$40=1,(IF(AND(O12&gt;=Рабочий!$A$34*1.1,Рабочий!$E$34&gt;='HBs,RUBELLA'!O12),EXP(Рабочий!$G$8*POWER((O12),5)+Рабочий!$G$9*POWER((O12),4)+Рабочий!$G$10*POWER((O12),3)+Рабочий!$G$11*POWER((O12),2)+Рабочий!$G$12*(O12)+Рабочий!$G$13),IF(O12&lt;=Рабочий!$A$34*0.9,"-",IF(AND(O12&lt;(Рабочий!$A$34*1.1),'HBs,RUBELLA'!O12&gt;(0.9*Рабочий!$A$34)),"сомн.","&gt;160")))),IF(O12&lt;(0.07+AVERAGE($D$20:$D$22)),"-",IF(O12&gt;Рабочий!$E$34,"&gt;150",EXP(Рабочий!$G$8*POWER((O12),5)+Рабочий!$G$9*POWER((O12),4)+Рабочий!$G$10*POWER((O12),3)+Рабочий!$G$11*POWER((O12),2)+Рабочий!$G$12*(O12)+Рабочий!$G$13)))),"     ")</f>
        <v>     </v>
      </c>
      <c r="P27" s="30" t="str">
        <f>IF(AND(ISNUMBER(P12),(Рабочий!$E$17=1)),IF(Рабочий!$F$40=1,(IF(AND(P12&gt;=Рабочий!$A$34*1.1,Рабочий!$E$34&gt;='HBs,RUBELLA'!P12),EXP(Рабочий!$G$8*POWER((P12),5)+Рабочий!$G$9*POWER((P12),4)+Рабочий!$G$10*POWER((P12),3)+Рабочий!$G$11*POWER((P12),2)+Рабочий!$G$12*(P12)+Рабочий!$G$13),IF(P12&lt;=Рабочий!$A$34*0.9,"-",IF(AND(P12&lt;(Рабочий!$A$34*1.1),'HBs,RUBELLA'!P12&gt;(0.9*Рабочий!$A$34)),"сомн.","&gt;160")))),IF(P12&lt;(0.07+AVERAGE($D$20:$D$22)),"-",IF(P12&gt;Рабочий!$E$34,"&gt;150",EXP(Рабочий!$G$8*POWER((P12),5)+Рабочий!$G$9*POWER((P12),4)+Рабочий!$G$10*POWER((P12),3)+Рабочий!$G$11*POWER((P12),2)+Рабочий!$G$12*(P12)+Рабочий!$G$13)))),"     ")</f>
        <v>     </v>
      </c>
      <c r="Q27" s="30" t="str">
        <f>IF(AND(ISNUMBER(Q12),(Рабочий!$E$17=1)),IF(Рабочий!$F$40=1,(IF(AND(Q12&gt;=Рабочий!$A$34*1.1,Рабочий!$E$34&gt;='HBs,RUBELLA'!Q12),EXP(Рабочий!$G$8*POWER((Q12),5)+Рабочий!$G$9*POWER((Q12),4)+Рабочий!$G$10*POWER((Q12),3)+Рабочий!$G$11*POWER((Q12),2)+Рабочий!$G$12*(Q12)+Рабочий!$G$13),IF(Q12&lt;=Рабочий!$A$34*0.9,"-",IF(AND(Q12&lt;(Рабочий!$A$34*1.1),'HBs,RUBELLA'!Q12&gt;(0.9*Рабочий!$A$34)),"сомн.","&gt;160")))),IF(Q12&lt;(0.07+AVERAGE($D$20:$D$22)),"-",IF(Q12&gt;Рабочий!$E$34,"&gt;150",EXP(Рабочий!$G$8*POWER((Q12),5)+Рабочий!$G$9*POWER((Q12),4)+Рабочий!$G$10*POWER((Q12),3)+Рабочий!$G$11*POWER((Q12),2)+Рабочий!$G$12*(Q12)+Рабочий!$G$13)))),"     ")</f>
        <v>     </v>
      </c>
      <c r="R27" s="30" t="str">
        <f>IF(AND(ISNUMBER(R12),(Рабочий!$E$17=1)),IF(Рабочий!$F$40=1,(IF(AND(R12&gt;=Рабочий!$A$34*1.1,Рабочий!$E$34&gt;='HBs,RUBELLA'!R12),EXP(Рабочий!$G$8*POWER((R12),5)+Рабочий!$G$9*POWER((R12),4)+Рабочий!$G$10*POWER((R12),3)+Рабочий!$G$11*POWER((R12),2)+Рабочий!$G$12*(R12)+Рабочий!$G$13),IF(R12&lt;=Рабочий!$A$34*0.9,"-",IF(AND(R12&lt;(Рабочий!$A$34*1.1),'HBs,RUBELLA'!R12&gt;(0.9*Рабочий!$A$34)),"сомн.","&gt;160")))),IF(R12&lt;(0.07+AVERAGE($D$20:$D$22)),"-",IF(R12&gt;Рабочий!$E$34,"&gt;150",EXP(Рабочий!$G$8*POWER((R12),5)+Рабочий!$G$9*POWER((R12),4)+Рабочий!$G$10*POWER((R12),3)+Рабочий!$G$11*POWER((R12),2)+Рабочий!$G$12*(R12)+Рабочий!$G$13)))),"     ")</f>
        <v>     </v>
      </c>
      <c r="S27" s="30" t="str">
        <f>IF(AND(ISNUMBER(S12),(Рабочий!$E$17=1)),IF(Рабочий!$F$40=1,(IF(AND(S12&gt;=Рабочий!$A$34*1.1,Рабочий!$E$34&gt;='HBs,RUBELLA'!S12),EXP(Рабочий!$G$8*POWER((S12),5)+Рабочий!$G$9*POWER((S12),4)+Рабочий!$G$10*POWER((S12),3)+Рабочий!$G$11*POWER((S12),2)+Рабочий!$G$12*(S12)+Рабочий!$G$13),IF(S12&lt;=Рабочий!$A$34*0.9,"-",IF(AND(S12&lt;(Рабочий!$A$34*1.1),'HBs,RUBELLA'!S12&gt;(0.9*Рабочий!$A$34)),"сомн.","&gt;160")))),IF(S12&lt;(0.07+AVERAGE($D$20:$D$22)),"-",IF(S12&gt;Рабочий!$E$34,"&gt;150",EXP(Рабочий!$G$8*POWER((S12),5)+Рабочий!$G$9*POWER((S12),4)+Рабочий!$G$10*POWER((S12),3)+Рабочий!$G$11*POWER((S12),2)+Рабочий!$G$12*(S12)+Рабочий!$G$13)))),"     ")</f>
        <v>     </v>
      </c>
      <c r="T27" s="30" t="str">
        <f>IF(AND(ISNUMBER(T12),(Рабочий!$E$17=1)),IF(Рабочий!$F$40=1,(IF(AND(T12&gt;=Рабочий!$A$34*1.1,Рабочий!$E$34&gt;='HBs,RUBELLA'!T12),EXP(Рабочий!$G$8*POWER((T12),5)+Рабочий!$G$9*POWER((T12),4)+Рабочий!$G$10*POWER((T12),3)+Рабочий!$G$11*POWER((T12),2)+Рабочий!$G$12*(T12)+Рабочий!$G$13),IF(T12&lt;=Рабочий!$A$34*0.9,"-",IF(AND(T12&lt;(Рабочий!$A$34*1.1),'HBs,RUBELLA'!T12&gt;(0.9*Рабочий!$A$34)),"сомн.","&gt;160")))),IF(T12&lt;(0.07+AVERAGE($D$20:$D$22)),"-",IF(T12&gt;Рабочий!$E$34,"&gt;150",EXP(Рабочий!$G$8*POWER((T12),5)+Рабочий!$G$9*POWER((T12),4)+Рабочий!$G$10*POWER((T12),3)+Рабочий!$G$11*POWER((T12),2)+Рабочий!$G$12*(T12)+Рабочий!$G$13)))),"     ")</f>
        <v>     </v>
      </c>
    </row>
    <row r="28" spans="2:20" ht="13.5" thickBot="1">
      <c r="B28" s="9"/>
      <c r="C28" s="9"/>
      <c r="D28" s="9"/>
      <c r="E28" s="9"/>
      <c r="H28" s="11" t="s">
        <v>14</v>
      </c>
      <c r="I28" s="30" t="str">
        <f>IF(AND(ISNUMBER(I13),(Рабочий!$E$17=1)),IF(Рабочий!$F$40=1,(IF(AND(I13&gt;=Рабочий!$A$34*1.1,Рабочий!$E$34&gt;='HBs,RUBELLA'!I13),EXP(Рабочий!$G$8*POWER((I13),5)+Рабочий!$G$9*POWER((I13),4)+Рабочий!$G$10*POWER((I13),3)+Рабочий!$G$11*POWER((I13),2)+Рабочий!$G$12*(I13)+Рабочий!$G$13),IF(I13&lt;=Рабочий!$A$34*0.9,"-",IF(AND(I13&lt;(Рабочий!$A$34*1.1),'HBs,RUBELLA'!I13&gt;(0.9*Рабочий!$A$34)),"сомн.","&gt;160")))),IF(I13&lt;(0.07+AVERAGE($D$20:$D$22)),"-",IF(I13&gt;Рабочий!$E$34,"&gt;150",IF(EXP(Рабочий!$G$8*POWER((I13),5)+Рабочий!$G$9*POWER((I13),4)+Рабочий!$G$10*POWER((I13),3)+Рабочий!$G$11*POWER((I13),2)+Рабочий!$G$12*(I13)+Рабочий!$G$13)&lt;150,EXP(Рабочий!$G$8*POWER((I13),5)+Рабочий!$G$9*POWER((I13),4)+Рабочий!$G$10*POWER((I13),3)+Рабочий!$G$11*POWER((I13),2)+Рабочий!$G$12*(I13)+Рабочий!$G$13),"150")))),"     ")</f>
        <v>     </v>
      </c>
      <c r="J28" s="30" t="str">
        <f>IF(AND(ISNUMBER(J13),(Рабочий!$E$17=1)),IF(Рабочий!$F$40=1,(IF(AND(J13&gt;=Рабочий!$A$34*1.1,Рабочий!$E$34&gt;='HBs,RUBELLA'!J13),EXP(Рабочий!$G$8*POWER((J13),5)+Рабочий!$G$9*POWER((J13),4)+Рабочий!$G$10*POWER((J13),3)+Рабочий!$G$11*POWER((J13),2)+Рабочий!$G$12*(J13)+Рабочий!$G$13),IF(J13&lt;=Рабочий!$A$34*0.9,"-",IF(AND(J13&lt;(Рабочий!$A$34*1.1),'HBs,RUBELLA'!J13&gt;(0.9*Рабочий!$A$34)),"сомн.","&gt;160")))),IF(J13&lt;(0.07+AVERAGE($D$20:$D$22)),"-",IF(J13&gt;Рабочий!$E$34,"&gt;150",IF(EXP(Рабочий!$G$8*POWER((J13),5)+Рабочий!$G$9*POWER((J13),4)+Рабочий!$G$10*POWER((J13),3)+Рабочий!$G$11*POWER((J13),2)+Рабочий!$G$12*(J13)+Рабочий!$G$13)&lt;150,EXP(Рабочий!$G$8*POWER((J13),5)+Рабочий!$G$9*POWER((J13),4)+Рабочий!$G$10*POWER((J13),3)+Рабочий!$G$11*POWER((J13),2)+Рабочий!$G$12*(J13)+Рабочий!$G$13),"150")))),"     ")</f>
        <v>     </v>
      </c>
      <c r="K28" s="30" t="str">
        <f>IF(AND(ISNUMBER(K13),(Рабочий!$E$17=1)),IF(Рабочий!$F$40=1,(IF(AND(K13&gt;=Рабочий!$A$34*1.1,Рабочий!$E$34&gt;='HBs,RUBELLA'!K13),EXP(Рабочий!$G$8*POWER((K13),5)+Рабочий!$G$9*POWER((K13),4)+Рабочий!$G$10*POWER((K13),3)+Рабочий!$G$11*POWER((K13),2)+Рабочий!$G$12*(K13)+Рабочий!$G$13),IF(K13&lt;=Рабочий!$A$34*0.9,"-",IF(AND(K13&lt;(Рабочий!$A$34*1.1),'HBs,RUBELLA'!K13&gt;(0.9*Рабочий!$A$34)),"сомн.","&gt;160")))),IF(K13&lt;(0.07+AVERAGE($D$20:$D$22)),"-",IF(K13&gt;Рабочий!$E$34,"&gt;150",IF(EXP(Рабочий!$G$8*POWER((K13),5)+Рабочий!$G$9*POWER((K13),4)+Рабочий!$G$10*POWER((K13),3)+Рабочий!$G$11*POWER((K13),2)+Рабочий!$G$12*(K13)+Рабочий!$G$13)&lt;150,EXP(Рабочий!$G$8*POWER((K13),5)+Рабочий!$G$9*POWER((K13),4)+Рабочий!$G$10*POWER((K13),3)+Рабочий!$G$11*POWER((K13),2)+Рабочий!$G$12*(K13)+Рабочий!$G$13),"150")))),"     ")</f>
        <v>     </v>
      </c>
      <c r="L28" s="30" t="str">
        <f>IF(AND(ISNUMBER(L13),(Рабочий!$E$17=1)),IF(Рабочий!$F$40=1,(IF(AND(L13&gt;=Рабочий!$A$34*1.1,Рабочий!$E$34&gt;='HBs,RUBELLA'!L13),EXP(Рабочий!$G$8*POWER((L13),5)+Рабочий!$G$9*POWER((L13),4)+Рабочий!$G$10*POWER((L13),3)+Рабочий!$G$11*POWER((L13),2)+Рабочий!$G$12*(L13)+Рабочий!$G$13),IF(L13&lt;=Рабочий!$A$34*0.9,"-",IF(AND(L13&lt;(Рабочий!$A$34*1.1),'HBs,RUBELLA'!L13&gt;(0.9*Рабочий!$A$34)),"сомн.","&gt;160")))),IF(L13&lt;(0.07+AVERAGE($D$20:$D$22)),"-",IF(L13&gt;Рабочий!$E$34,"&gt;150",IF(EXP(Рабочий!$G$8*POWER((L13),5)+Рабочий!$G$9*POWER((L13),4)+Рабочий!$G$10*POWER((L13),3)+Рабочий!$G$11*POWER((L13),2)+Рабочий!$G$12*(L13)+Рабочий!$G$13)&lt;150,EXP(Рабочий!$G$8*POWER((L13),5)+Рабочий!$G$9*POWER((L13),4)+Рабочий!$G$10*POWER((L13),3)+Рабочий!$G$11*POWER((L13),2)+Рабочий!$G$12*(L13)+Рабочий!$G$13),"150")))),"     ")</f>
        <v>     </v>
      </c>
      <c r="M28" s="30" t="str">
        <f>IF(AND(ISNUMBER(M13),(Рабочий!$E$17=1)),IF(Рабочий!$F$40=1,(IF(AND(M13&gt;=Рабочий!$A$34*1.1,Рабочий!$E$34&gt;='HBs,RUBELLA'!M13),EXP(Рабочий!$G$8*POWER((M13),5)+Рабочий!$G$9*POWER((M13),4)+Рабочий!$G$10*POWER((M13),3)+Рабочий!$G$11*POWER((M13),2)+Рабочий!$G$12*(M13)+Рабочий!$G$13),IF(M13&lt;=Рабочий!$A$34*0.9,"-",IF(AND(M13&lt;(Рабочий!$A$34*1.1),'HBs,RUBELLA'!M13&gt;(0.9*Рабочий!$A$34)),"сомн.","&gt;160")))),IF(M13&lt;(0.07+AVERAGE($D$20:$D$22)),"-",IF(M13&gt;Рабочий!$E$34,"&gt;150",IF(EXP(Рабочий!$G$8*POWER((M13),5)+Рабочий!$G$9*POWER((M13),4)+Рабочий!$G$10*POWER((M13),3)+Рабочий!$G$11*POWER((M13),2)+Рабочий!$G$12*(M13)+Рабочий!$G$13)&lt;150,EXP(Рабочий!$G$8*POWER((M13),5)+Рабочий!$G$9*POWER((M13),4)+Рабочий!$G$10*POWER((M13),3)+Рабочий!$G$11*POWER((M13),2)+Рабочий!$G$12*(M13)+Рабочий!$G$13),"150")))),"     ")</f>
        <v>     </v>
      </c>
      <c r="N28" s="30" t="str">
        <f>IF(AND(ISNUMBER(N13),(Рабочий!$E$17=1)),IF(Рабочий!$F$40=1,(IF(AND(N13&gt;=Рабочий!$A$34*1.1,Рабочий!$E$34&gt;='HBs,RUBELLA'!N13),EXP(Рабочий!$G$8*POWER((N13),5)+Рабочий!$G$9*POWER((N13),4)+Рабочий!$G$10*POWER((N13),3)+Рабочий!$G$11*POWER((N13),2)+Рабочий!$G$12*(N13)+Рабочий!$G$13),IF(N13&lt;=Рабочий!$A$34*0.9,"-",IF(AND(N13&lt;(Рабочий!$A$34*1.1),'HBs,RUBELLA'!N13&gt;(0.9*Рабочий!$A$34)),"сомн.","&gt;160")))),IF(N13&lt;(0.07+AVERAGE($D$20:$D$22)),"-",IF(N13&gt;Рабочий!$E$34,"&gt;150",EXP(Рабочий!$G$8*POWER((N13),5)+Рабочий!$G$9*POWER((N13),4)+Рабочий!$G$10*POWER((N13),3)+Рабочий!$G$11*POWER((N13),2)+Рабочий!$G$12*(N13)+Рабочий!$G$13)))),"     ")</f>
        <v>     </v>
      </c>
      <c r="O28" s="30" t="str">
        <f>IF(AND(ISNUMBER(O13),(Рабочий!$E$17=1)),IF(Рабочий!$F$40=1,(IF(AND(O13&gt;=Рабочий!$A$34*1.1,Рабочий!$E$34&gt;='HBs,RUBELLA'!O13),EXP(Рабочий!$G$8*POWER((O13),5)+Рабочий!$G$9*POWER((O13),4)+Рабочий!$G$10*POWER((O13),3)+Рабочий!$G$11*POWER((O13),2)+Рабочий!$G$12*(O13)+Рабочий!$G$13),IF(O13&lt;=Рабочий!$A$34*0.9,"-",IF(AND(O13&lt;(Рабочий!$A$34*1.1),'HBs,RUBELLA'!O13&gt;(0.9*Рабочий!$A$34)),"сомн.","&gt;160")))),IF(O13&lt;(0.07+AVERAGE($D$20:$D$22)),"-",IF(O13&gt;Рабочий!$E$34,"&gt;150",EXP(Рабочий!$G$8*POWER((O13),5)+Рабочий!$G$9*POWER((O13),4)+Рабочий!$G$10*POWER((O13),3)+Рабочий!$G$11*POWER((O13),2)+Рабочий!$G$12*(O13)+Рабочий!$G$13)))),"     ")</f>
        <v>     </v>
      </c>
      <c r="P28" s="30" t="str">
        <f>IF(AND(ISNUMBER(P13),(Рабочий!$E$17=1)),IF(Рабочий!$F$40=1,(IF(AND(P13&gt;=Рабочий!$A$34*1.1,Рабочий!$E$34&gt;='HBs,RUBELLA'!P13),EXP(Рабочий!$G$8*POWER((P13),5)+Рабочий!$G$9*POWER((P13),4)+Рабочий!$G$10*POWER((P13),3)+Рабочий!$G$11*POWER((P13),2)+Рабочий!$G$12*(P13)+Рабочий!$G$13),IF(P13&lt;=Рабочий!$A$34*0.9,"-",IF(AND(P13&lt;(Рабочий!$A$34*1.1),'HBs,RUBELLA'!P13&gt;(0.9*Рабочий!$A$34)),"сомн.","&gt;160")))),IF(P13&lt;(0.07+AVERAGE($D$20:$D$22)),"-",IF(P13&gt;Рабочий!$E$34,"&gt;150",EXP(Рабочий!$G$8*POWER((P13),5)+Рабочий!$G$9*POWER((P13),4)+Рабочий!$G$10*POWER((P13),3)+Рабочий!$G$11*POWER((P13),2)+Рабочий!$G$12*(P13)+Рабочий!$G$13)))),"     ")</f>
        <v>     </v>
      </c>
      <c r="Q28" s="30" t="str">
        <f>IF(AND(ISNUMBER(Q13),(Рабочий!$E$17=1)),IF(Рабочий!$F$40=1,(IF(AND(Q13&gt;=Рабочий!$A$34*1.1,Рабочий!$E$34&gt;='HBs,RUBELLA'!Q13),EXP(Рабочий!$G$8*POWER((Q13),5)+Рабочий!$G$9*POWER((Q13),4)+Рабочий!$G$10*POWER((Q13),3)+Рабочий!$G$11*POWER((Q13),2)+Рабочий!$G$12*(Q13)+Рабочий!$G$13),IF(Q13&lt;=Рабочий!$A$34*0.9,"-",IF(AND(Q13&lt;(Рабочий!$A$34*1.1),'HBs,RUBELLA'!Q13&gt;(0.9*Рабочий!$A$34)),"сомн.","&gt;160")))),IF(Q13&lt;(0.07+AVERAGE($D$20:$D$22)),"-",IF(Q13&gt;Рабочий!$E$34,"&gt;150",EXP(Рабочий!$G$8*POWER((Q13),5)+Рабочий!$G$9*POWER((Q13),4)+Рабочий!$G$10*POWER((Q13),3)+Рабочий!$G$11*POWER((Q13),2)+Рабочий!$G$12*(Q13)+Рабочий!$G$13)))),"     ")</f>
        <v>     </v>
      </c>
      <c r="R28" s="30" t="str">
        <f>IF(AND(ISNUMBER(R13),(Рабочий!$E$17=1)),IF(Рабочий!$F$40=1,(IF(AND(R13&gt;=Рабочий!$A$34*1.1,Рабочий!$E$34&gt;='HBs,RUBELLA'!R13),EXP(Рабочий!$G$8*POWER((R13),5)+Рабочий!$G$9*POWER((R13),4)+Рабочий!$G$10*POWER((R13),3)+Рабочий!$G$11*POWER((R13),2)+Рабочий!$G$12*(R13)+Рабочий!$G$13),IF(R13&lt;=Рабочий!$A$34*0.9,"-",IF(AND(R13&lt;(Рабочий!$A$34*1.1),'HBs,RUBELLA'!R13&gt;(0.9*Рабочий!$A$34)),"сомн.","&gt;160")))),IF(R13&lt;(0.07+AVERAGE($D$20:$D$22)),"-",IF(R13&gt;Рабочий!$E$34,"&gt;150",EXP(Рабочий!$G$8*POWER((R13),5)+Рабочий!$G$9*POWER((R13),4)+Рабочий!$G$10*POWER((R13),3)+Рабочий!$G$11*POWER((R13),2)+Рабочий!$G$12*(R13)+Рабочий!$G$13)))),"     ")</f>
        <v>     </v>
      </c>
      <c r="S28" s="30" t="str">
        <f>IF(AND(ISNUMBER(S13),(Рабочий!$E$17=1)),IF(Рабочий!$F$40=1,(IF(AND(S13&gt;=Рабочий!$A$34*1.1,Рабочий!$E$34&gt;='HBs,RUBELLA'!S13),EXP(Рабочий!$G$8*POWER((S13),5)+Рабочий!$G$9*POWER((S13),4)+Рабочий!$G$10*POWER((S13),3)+Рабочий!$G$11*POWER((S13),2)+Рабочий!$G$12*(S13)+Рабочий!$G$13),IF(S13&lt;=Рабочий!$A$34*0.9,"-",IF(AND(S13&lt;(Рабочий!$A$34*1.1),'HBs,RUBELLA'!S13&gt;(0.9*Рабочий!$A$34)),"сомн.","&gt;160")))),IF(S13&lt;(0.07+AVERAGE($D$20:$D$22)),"-",IF(S13&gt;Рабочий!$E$34,"&gt;150",EXP(Рабочий!$G$8*POWER((S13),5)+Рабочий!$G$9*POWER((S13),4)+Рабочий!$G$10*POWER((S13),3)+Рабочий!$G$11*POWER((S13),2)+Рабочий!$G$12*(S13)+Рабочий!$G$13)))),"     ")</f>
        <v>     </v>
      </c>
      <c r="T28" s="30" t="str">
        <f>IF(AND(ISNUMBER(T13),(Рабочий!$E$17=1)),IF(Рабочий!$F$40=1,(IF(AND(T13&gt;=Рабочий!$A$34*1.1,Рабочий!$E$34&gt;='HBs,RUBELLA'!T13),EXP(Рабочий!$G$8*POWER((T13),5)+Рабочий!$G$9*POWER((T13),4)+Рабочий!$G$10*POWER((T13),3)+Рабочий!$G$11*POWER((T13),2)+Рабочий!$G$12*(T13)+Рабочий!$G$13),IF(T13&lt;=Рабочий!$A$34*0.9,"-",IF(AND(T13&lt;(Рабочий!$A$34*1.1),'HBs,RUBELLA'!T13&gt;(0.9*Рабочий!$A$34)),"сомн.","&gt;160")))),IF(T13&lt;(0.07+AVERAGE($D$20:$D$22)),"-",IF(T13&gt;Рабочий!$E$34,"&gt;150",EXP(Рабочий!$G$8*POWER((T13),5)+Рабочий!$G$9*POWER((T13),4)+Рабочий!$G$10*POWER((T13),3)+Рабочий!$G$11*POWER((T13),2)+Рабочий!$G$12*(T13)+Рабочий!$G$13)))),"     ")</f>
        <v>     </v>
      </c>
    </row>
    <row r="29" spans="2:20" ht="13.5" thickBot="1">
      <c r="B29" s="9"/>
      <c r="C29" s="9"/>
      <c r="D29" s="9"/>
      <c r="E29" s="9"/>
      <c r="H29" s="11" t="s">
        <v>15</v>
      </c>
      <c r="I29" s="30" t="str">
        <f>IF(AND(ISNUMBER(I14),(Рабочий!$E$17=1)),IF(Рабочий!$F$40=1,(IF(AND(I14&gt;=Рабочий!$A$34*1.1,Рабочий!$E$34&gt;='HBs,RUBELLA'!I14),EXP(Рабочий!$G$8*POWER((I14),5)+Рабочий!$G$9*POWER((I14),4)+Рабочий!$G$10*POWER((I14),3)+Рабочий!$G$11*POWER((I14),2)+Рабочий!$G$12*(I14)+Рабочий!$G$13),IF(I14&lt;=Рабочий!$A$34*0.9,"-",IF(AND(I14&lt;(Рабочий!$A$34*1.1),'HBs,RUBELLA'!I14&gt;(0.9*Рабочий!$A$34)),"сомн.","&gt;160")))),IF(I14&lt;(0.07+AVERAGE($D$20:$D$22)),"-",IF(I14&gt;Рабочий!$E$34,"&gt;150",IF(EXP(Рабочий!$G$8*POWER((I14),5)+Рабочий!$G$9*POWER((I14),4)+Рабочий!$G$10*POWER((I14),3)+Рабочий!$G$11*POWER((I14),2)+Рабочий!$G$12*(I14)+Рабочий!$G$13)&lt;150,EXP(Рабочий!$G$8*POWER((I14),5)+Рабочий!$G$9*POWER((I14),4)+Рабочий!$G$10*POWER((I14),3)+Рабочий!$G$11*POWER((I14),2)+Рабочий!$G$12*(I14)+Рабочий!$G$13),"150")))),"     ")</f>
        <v>     </v>
      </c>
      <c r="J29" s="30" t="str">
        <f>IF(AND(ISNUMBER(J14),(Рабочий!$E$17=1)),IF(Рабочий!$F$40=1,(IF(AND(J14&gt;=Рабочий!$A$34*1.1,Рабочий!$E$34&gt;='HBs,RUBELLA'!J14),EXP(Рабочий!$G$8*POWER((J14),5)+Рабочий!$G$9*POWER((J14),4)+Рабочий!$G$10*POWER((J14),3)+Рабочий!$G$11*POWER((J14),2)+Рабочий!$G$12*(J14)+Рабочий!$G$13),IF(J14&lt;=Рабочий!$A$34*0.9,"-",IF(AND(J14&lt;(Рабочий!$A$34*1.1),'HBs,RUBELLA'!J14&gt;(0.9*Рабочий!$A$34)),"сомн.","&gt;160")))),IF(J14&lt;(0.07+AVERAGE($D$20:$D$22)),"-",IF(J14&gt;Рабочий!$E$34,"&gt;150",IF(EXP(Рабочий!$G$8*POWER((J14),5)+Рабочий!$G$9*POWER((J14),4)+Рабочий!$G$10*POWER((J14),3)+Рабочий!$G$11*POWER((J14),2)+Рабочий!$G$12*(J14)+Рабочий!$G$13)&lt;150,EXP(Рабочий!$G$8*POWER((J14),5)+Рабочий!$G$9*POWER((J14),4)+Рабочий!$G$10*POWER((J14),3)+Рабочий!$G$11*POWER((J14),2)+Рабочий!$G$12*(J14)+Рабочий!$G$13),"150")))),"     ")</f>
        <v>     </v>
      </c>
      <c r="K29" s="30" t="str">
        <f>IF(AND(ISNUMBER(K14),(Рабочий!$E$17=1)),IF(Рабочий!$F$40=1,(IF(AND(K14&gt;=Рабочий!$A$34*1.1,Рабочий!$E$34&gt;='HBs,RUBELLA'!K14),EXP(Рабочий!$G$8*POWER((K14),5)+Рабочий!$G$9*POWER((K14),4)+Рабочий!$G$10*POWER((K14),3)+Рабочий!$G$11*POWER((K14),2)+Рабочий!$G$12*(K14)+Рабочий!$G$13),IF(K14&lt;=Рабочий!$A$34*0.9,"-",IF(AND(K14&lt;(Рабочий!$A$34*1.1),'HBs,RUBELLA'!K14&gt;(0.9*Рабочий!$A$34)),"сомн.","&gt;160")))),IF(K14&lt;(0.07+AVERAGE($D$20:$D$22)),"-",IF(K14&gt;Рабочий!$E$34,"&gt;150",IF(EXP(Рабочий!$G$8*POWER((K14),5)+Рабочий!$G$9*POWER((K14),4)+Рабочий!$G$10*POWER((K14),3)+Рабочий!$G$11*POWER((K14),2)+Рабочий!$G$12*(K14)+Рабочий!$G$13)&lt;150,EXP(Рабочий!$G$8*POWER((K14),5)+Рабочий!$G$9*POWER((K14),4)+Рабочий!$G$10*POWER((K14),3)+Рабочий!$G$11*POWER((K14),2)+Рабочий!$G$12*(K14)+Рабочий!$G$13),"150")))),"     ")</f>
        <v>     </v>
      </c>
      <c r="L29" s="30" t="str">
        <f>IF(AND(ISNUMBER(L14),(Рабочий!$E$17=1)),IF(Рабочий!$F$40=1,(IF(AND(L14&gt;=Рабочий!$A$34*1.1,Рабочий!$E$34&gt;='HBs,RUBELLA'!L14),EXP(Рабочий!$G$8*POWER((L14),5)+Рабочий!$G$9*POWER((L14),4)+Рабочий!$G$10*POWER((L14),3)+Рабочий!$G$11*POWER((L14),2)+Рабочий!$G$12*(L14)+Рабочий!$G$13),IF(L14&lt;=Рабочий!$A$34*0.9,"-",IF(AND(L14&lt;(Рабочий!$A$34*1.1),'HBs,RUBELLA'!L14&gt;(0.9*Рабочий!$A$34)),"сомн.","&gt;160")))),IF(L14&lt;(0.07+AVERAGE($D$20:$D$22)),"-",IF(L14&gt;Рабочий!$E$34,"&gt;150",IF(EXP(Рабочий!$G$8*POWER((L14),5)+Рабочий!$G$9*POWER((L14),4)+Рабочий!$G$10*POWER((L14),3)+Рабочий!$G$11*POWER((L14),2)+Рабочий!$G$12*(L14)+Рабочий!$G$13)&lt;150,EXP(Рабочий!$G$8*POWER((L14),5)+Рабочий!$G$9*POWER((L14),4)+Рабочий!$G$10*POWER((L14),3)+Рабочий!$G$11*POWER((L14),2)+Рабочий!$G$12*(L14)+Рабочий!$G$13),"150")))),"     ")</f>
        <v>     </v>
      </c>
      <c r="M29" s="30" t="str">
        <f>IF(AND(ISNUMBER(M14),(Рабочий!$E$17=1)),IF(Рабочий!$F$40=1,(IF(AND(M14&gt;=Рабочий!$A$34*1.1,Рабочий!$E$34&gt;='HBs,RUBELLA'!M14),EXP(Рабочий!$G$8*POWER((M14),5)+Рабочий!$G$9*POWER((M14),4)+Рабочий!$G$10*POWER((M14),3)+Рабочий!$G$11*POWER((M14),2)+Рабочий!$G$12*(M14)+Рабочий!$G$13),IF(M14&lt;=Рабочий!$A$34*0.9,"-",IF(AND(M14&lt;(Рабочий!$A$34*1.1),'HBs,RUBELLA'!M14&gt;(0.9*Рабочий!$A$34)),"сомн.","&gt;160")))),IF(M14&lt;(0.07+AVERAGE($D$20:$D$22)),"-",IF(M14&gt;Рабочий!$E$34,"&gt;150",IF(EXP(Рабочий!$G$8*POWER((M14),5)+Рабочий!$G$9*POWER((M14),4)+Рабочий!$G$10*POWER((M14),3)+Рабочий!$G$11*POWER((M14),2)+Рабочий!$G$12*(M14)+Рабочий!$G$13)&lt;150,EXP(Рабочий!$G$8*POWER((M14),5)+Рабочий!$G$9*POWER((M14),4)+Рабочий!$G$10*POWER((M14),3)+Рабочий!$G$11*POWER((M14),2)+Рабочий!$G$12*(M14)+Рабочий!$G$13),"150")))),"     ")</f>
        <v>     </v>
      </c>
      <c r="N29" s="30" t="str">
        <f>IF(AND(ISNUMBER(N14),(Рабочий!$E$17=1)),IF(Рабочий!$F$40=1,(IF(AND(N14&gt;=Рабочий!$A$34*1.1,Рабочий!$E$34&gt;='HBs,RUBELLA'!N14),EXP(Рабочий!$G$8*POWER((N14),5)+Рабочий!$G$9*POWER((N14),4)+Рабочий!$G$10*POWER((N14),3)+Рабочий!$G$11*POWER((N14),2)+Рабочий!$G$12*(N14)+Рабочий!$G$13),IF(N14&lt;=Рабочий!$A$34*0.9,"-",IF(AND(N14&lt;(Рабочий!$A$34*1.1),'HBs,RUBELLA'!N14&gt;(0.9*Рабочий!$A$34)),"сомн.","&gt;160")))),IF(N14&lt;(0.07+AVERAGE($D$20:$D$22)),"-",IF(N14&gt;Рабочий!$E$34,"&gt;150",EXP(Рабочий!$G$8*POWER((N14),5)+Рабочий!$G$9*POWER((N14),4)+Рабочий!$G$10*POWER((N14),3)+Рабочий!$G$11*POWER((N14),2)+Рабочий!$G$12*(N14)+Рабочий!$G$13)))),"     ")</f>
        <v>     </v>
      </c>
      <c r="O29" s="30" t="str">
        <f>IF(AND(ISNUMBER(O14),(Рабочий!$E$17=1)),IF(Рабочий!$F$40=1,(IF(AND(O14&gt;=Рабочий!$A$34*1.1,Рабочий!$E$34&gt;='HBs,RUBELLA'!O14),EXP(Рабочий!$G$8*POWER((O14),5)+Рабочий!$G$9*POWER((O14),4)+Рабочий!$G$10*POWER((O14),3)+Рабочий!$G$11*POWER((O14),2)+Рабочий!$G$12*(O14)+Рабочий!$G$13),IF(O14&lt;=Рабочий!$A$34*0.9,"-",IF(AND(O14&lt;(Рабочий!$A$34*1.1),'HBs,RUBELLA'!O14&gt;(0.9*Рабочий!$A$34)),"сомн.","&gt;160")))),IF(O14&lt;(0.07+AVERAGE($D$20:$D$22)),"-",IF(O14&gt;Рабочий!$E$34,"&gt;150",EXP(Рабочий!$G$8*POWER((O14),5)+Рабочий!$G$9*POWER((O14),4)+Рабочий!$G$10*POWER((O14),3)+Рабочий!$G$11*POWER((O14),2)+Рабочий!$G$12*(O14)+Рабочий!$G$13)))),"     ")</f>
        <v>     </v>
      </c>
      <c r="P29" s="30" t="str">
        <f>IF(AND(ISNUMBER(P14),(Рабочий!$E$17=1)),IF(Рабочий!$F$40=1,(IF(AND(P14&gt;=Рабочий!$A$34*1.1,Рабочий!$E$34&gt;='HBs,RUBELLA'!P14),EXP(Рабочий!$G$8*POWER((P14),5)+Рабочий!$G$9*POWER((P14),4)+Рабочий!$G$10*POWER((P14),3)+Рабочий!$G$11*POWER((P14),2)+Рабочий!$G$12*(P14)+Рабочий!$G$13),IF(P14&lt;=Рабочий!$A$34*0.9,"-",IF(AND(P14&lt;(Рабочий!$A$34*1.1),'HBs,RUBELLA'!P14&gt;(0.9*Рабочий!$A$34)),"сомн.","&gt;160")))),IF(P14&lt;(0.07+AVERAGE($D$20:$D$22)),"-",IF(P14&gt;Рабочий!$E$34,"&gt;150",EXP(Рабочий!$G$8*POWER((P14),5)+Рабочий!$G$9*POWER((P14),4)+Рабочий!$G$10*POWER((P14),3)+Рабочий!$G$11*POWER((P14),2)+Рабочий!$G$12*(P14)+Рабочий!$G$13)))),"     ")</f>
        <v>     </v>
      </c>
      <c r="Q29" s="30" t="str">
        <f>IF(AND(ISNUMBER(Q14),(Рабочий!$E$17=1)),IF(Рабочий!$F$40=1,(IF(AND(Q14&gt;=Рабочий!$A$34*1.1,Рабочий!$E$34&gt;='HBs,RUBELLA'!Q14),EXP(Рабочий!$G$8*POWER((Q14),5)+Рабочий!$G$9*POWER((Q14),4)+Рабочий!$G$10*POWER((Q14),3)+Рабочий!$G$11*POWER((Q14),2)+Рабочий!$G$12*(Q14)+Рабочий!$G$13),IF(Q14&lt;=Рабочий!$A$34*0.9,"-",IF(AND(Q14&lt;(Рабочий!$A$34*1.1),'HBs,RUBELLA'!Q14&gt;(0.9*Рабочий!$A$34)),"сомн.","&gt;160")))),IF(Q14&lt;(0.07+AVERAGE($D$20:$D$22)),"-",IF(Q14&gt;Рабочий!$E$34,"&gt;150",EXP(Рабочий!$G$8*POWER((Q14),5)+Рабочий!$G$9*POWER((Q14),4)+Рабочий!$G$10*POWER((Q14),3)+Рабочий!$G$11*POWER((Q14),2)+Рабочий!$G$12*(Q14)+Рабочий!$G$13)))),"     ")</f>
        <v>     </v>
      </c>
      <c r="R29" s="30" t="str">
        <f>IF(AND(ISNUMBER(R14),(Рабочий!$E$17=1)),IF(Рабочий!$F$40=1,(IF(AND(R14&gt;=Рабочий!$A$34*1.1,Рабочий!$E$34&gt;='HBs,RUBELLA'!R14),EXP(Рабочий!$G$8*POWER((R14),5)+Рабочий!$G$9*POWER((R14),4)+Рабочий!$G$10*POWER((R14),3)+Рабочий!$G$11*POWER((R14),2)+Рабочий!$G$12*(R14)+Рабочий!$G$13),IF(R14&lt;=Рабочий!$A$34*0.9,"-",IF(AND(R14&lt;(Рабочий!$A$34*1.1),'HBs,RUBELLA'!R14&gt;(0.9*Рабочий!$A$34)),"сомн.","&gt;160")))),IF(R14&lt;(0.07+AVERAGE($D$20:$D$22)),"-",IF(R14&gt;Рабочий!$E$34,"&gt;150",EXP(Рабочий!$G$8*POWER((R14),5)+Рабочий!$G$9*POWER((R14),4)+Рабочий!$G$10*POWER((R14),3)+Рабочий!$G$11*POWER((R14),2)+Рабочий!$G$12*(R14)+Рабочий!$G$13)))),"     ")</f>
        <v>     </v>
      </c>
      <c r="S29" s="30" t="str">
        <f>IF(AND(ISNUMBER(S14),(Рабочий!$E$17=1)),IF(Рабочий!$F$40=1,(IF(AND(S14&gt;=Рабочий!$A$34*1.1,Рабочий!$E$34&gt;='HBs,RUBELLA'!S14),EXP(Рабочий!$G$8*POWER((S14),5)+Рабочий!$G$9*POWER((S14),4)+Рабочий!$G$10*POWER((S14),3)+Рабочий!$G$11*POWER((S14),2)+Рабочий!$G$12*(S14)+Рабочий!$G$13),IF(S14&lt;=Рабочий!$A$34*0.9,"-",IF(AND(S14&lt;(Рабочий!$A$34*1.1),'HBs,RUBELLA'!S14&gt;(0.9*Рабочий!$A$34)),"сомн.","&gt;160")))),IF(S14&lt;(0.07+AVERAGE($D$20:$D$22)),"-",IF(S14&gt;Рабочий!$E$34,"&gt;150",EXP(Рабочий!$G$8*POWER((S14),5)+Рабочий!$G$9*POWER((S14),4)+Рабочий!$G$10*POWER((S14),3)+Рабочий!$G$11*POWER((S14),2)+Рабочий!$G$12*(S14)+Рабочий!$G$13)))),"     ")</f>
        <v>     </v>
      </c>
      <c r="T29" s="30" t="str">
        <f>IF(AND(ISNUMBER(T14),(Рабочий!$E$17=1)),IF(Рабочий!$F$40=1,(IF(AND(T14&gt;=Рабочий!$A$34*1.1,Рабочий!$E$34&gt;='HBs,RUBELLA'!T14),EXP(Рабочий!$G$8*POWER((T14),5)+Рабочий!$G$9*POWER((T14),4)+Рабочий!$G$10*POWER((T14),3)+Рабочий!$G$11*POWER((T14),2)+Рабочий!$G$12*(T14)+Рабочий!$G$13),IF(T14&lt;=Рабочий!$A$34*0.9,"-",IF(AND(T14&lt;(Рабочий!$A$34*1.1),'HBs,RUBELLA'!T14&gt;(0.9*Рабочий!$A$34)),"сомн.","&gt;160")))),IF(T14&lt;(0.07+AVERAGE($D$20:$D$22)),"-",IF(T14&gt;Рабочий!$E$34,"&gt;150",EXP(Рабочий!$G$8*POWER((T14),5)+Рабочий!$G$9*POWER((T14),4)+Рабочий!$G$10*POWER((T14),3)+Рабочий!$G$11*POWER((T14),2)+Рабочий!$G$12*(T14)+Рабочий!$G$13)))),"     ")</f>
        <v>     </v>
      </c>
    </row>
    <row r="30" spans="2:5" ht="12.75">
      <c r="B30" s="9"/>
      <c r="C30" s="9"/>
      <c r="D30" s="9"/>
      <c r="E30" s="9"/>
    </row>
    <row r="31" spans="2:17" ht="12.75">
      <c r="B31" s="9"/>
      <c r="C31" s="9"/>
      <c r="D31" s="9"/>
      <c r="E31" s="9"/>
      <c r="G31" s="7"/>
      <c r="I31" s="27"/>
      <c r="J31" s="26" t="s">
        <v>21</v>
      </c>
      <c r="N31" s="33"/>
      <c r="O31" s="26" t="s">
        <v>34</v>
      </c>
      <c r="Q31" s="20"/>
    </row>
    <row r="32" spans="2:5" ht="12.75">
      <c r="B32" s="9"/>
      <c r="C32" s="9"/>
      <c r="D32" s="9"/>
      <c r="E32" s="9"/>
    </row>
    <row r="33" spans="2:5" ht="12.75">
      <c r="B33" s="9"/>
      <c r="C33" s="9"/>
      <c r="D33" s="9"/>
      <c r="E33" s="9"/>
    </row>
    <row r="34" spans="2:5" ht="12.75">
      <c r="B34" s="9"/>
      <c r="C34" s="9"/>
      <c r="D34" s="9"/>
      <c r="E34" s="9"/>
    </row>
    <row r="39" ht="18">
      <c r="F39" s="45"/>
    </row>
    <row r="42" ht="12.75" customHeight="1" hidden="1"/>
    <row r="43" spans="3:4" ht="12.75" customHeight="1" hidden="1">
      <c r="C43">
        <v>55</v>
      </c>
      <c r="D43">
        <v>180</v>
      </c>
    </row>
    <row r="44" ht="12.75" customHeight="1" hidden="1"/>
  </sheetData>
  <sheetProtection/>
  <mergeCells count="3">
    <mergeCell ref="H5:T5"/>
    <mergeCell ref="H20:T20"/>
    <mergeCell ref="B18:E19"/>
  </mergeCells>
  <conditionalFormatting sqref="I22:T29">
    <cfRule type="cellIs" priority="1" dxfId="6" operator="equal" stopIfTrue="1">
      <formula>"-"</formula>
    </cfRule>
    <cfRule type="cellIs" priority="2" dxfId="1" operator="equal" stopIfTrue="1">
      <formula>"сомн."</formula>
    </cfRule>
  </conditionalFormatting>
  <printOptions/>
  <pageMargins left="0.75" right="0.75" top="1" bottom="1" header="0.5" footer="0.5"/>
  <pageSetup horizontalDpi="600" verticalDpi="600" orientation="landscape" paperSize="9" r:id="rId3"/>
  <drawing r:id="rId2"/>
  <legacyDrawing r:id="rId1"/>
</worksheet>
</file>

<file path=xl/worksheets/sheet3.xml><?xml version="1.0" encoding="utf-8"?>
<worksheet xmlns="http://schemas.openxmlformats.org/spreadsheetml/2006/main" xmlns:r="http://schemas.openxmlformats.org/officeDocument/2006/relationships">
  <sheetPr codeName="Лист3"/>
  <dimension ref="B2:W61"/>
  <sheetViews>
    <sheetView tabSelected="1" zoomScalePageLayoutView="0" workbookViewId="0" topLeftCell="A1">
      <selection activeCell="L18" sqref="L18"/>
    </sheetView>
  </sheetViews>
  <sheetFormatPr defaultColWidth="9.00390625" defaultRowHeight="12.75"/>
  <cols>
    <col min="1" max="1" width="3.75390625" style="0" customWidth="1"/>
    <col min="2" max="2" width="3.25390625" style="0" customWidth="1"/>
    <col min="3" max="14" width="6.625" style="0" customWidth="1"/>
    <col min="15" max="20" width="7.00390625" style="0" customWidth="1"/>
  </cols>
  <sheetData>
    <row r="2" spans="2:9" ht="12.75" customHeight="1">
      <c r="B2" s="12" t="s">
        <v>39</v>
      </c>
      <c r="I2" s="12" t="s">
        <v>40</v>
      </c>
    </row>
    <row r="3" ht="13.5" thickBot="1">
      <c r="C3" s="12"/>
    </row>
    <row r="4" spans="2:11" ht="13.5" customHeight="1" thickBot="1">
      <c r="B4" s="16"/>
      <c r="C4" s="16"/>
      <c r="D4" s="16"/>
      <c r="E4" s="16"/>
      <c r="J4" s="41">
        <v>1</v>
      </c>
      <c r="K4" s="31"/>
    </row>
    <row r="5" spans="10:20" ht="13.5" customHeight="1" thickBot="1">
      <c r="J5" s="41">
        <v>2</v>
      </c>
      <c r="K5" s="78"/>
      <c r="Q5" s="16"/>
      <c r="R5" s="16"/>
      <c r="S5" s="16"/>
      <c r="T5" s="16"/>
    </row>
    <row r="6" spans="10:20" ht="13.5" customHeight="1" thickBot="1">
      <c r="J6" s="41">
        <v>3</v>
      </c>
      <c r="K6" s="78"/>
      <c r="L6" s="16"/>
      <c r="M6" s="16"/>
      <c r="N6" s="16"/>
      <c r="O6" s="16"/>
      <c r="P6" s="16"/>
      <c r="Q6" s="16"/>
      <c r="R6" s="18"/>
      <c r="S6" s="16"/>
      <c r="T6" s="16"/>
    </row>
    <row r="7" spans="10:20" ht="13.5" customHeight="1" thickBot="1">
      <c r="J7" s="41">
        <v>4</v>
      </c>
      <c r="K7" s="78"/>
      <c r="L7" s="16"/>
      <c r="M7" s="16"/>
      <c r="N7" s="16"/>
      <c r="O7" s="16"/>
      <c r="P7" s="16"/>
      <c r="R7" s="32"/>
      <c r="S7" s="16"/>
      <c r="T7" s="16"/>
    </row>
    <row r="8" spans="10:18" ht="13.5" customHeight="1" thickBot="1">
      <c r="J8" s="41">
        <v>5</v>
      </c>
      <c r="K8" s="78"/>
      <c r="L8" s="36"/>
      <c r="M8" s="18"/>
      <c r="N8" s="16"/>
      <c r="O8" s="16"/>
      <c r="Q8" s="16"/>
      <c r="R8" s="32"/>
    </row>
    <row r="9" spans="10:18" ht="13.5" customHeight="1" thickBot="1">
      <c r="J9" s="41">
        <v>6</v>
      </c>
      <c r="K9" s="78"/>
      <c r="L9" s="36"/>
      <c r="M9" s="18"/>
      <c r="N9" s="19"/>
      <c r="O9" s="19"/>
      <c r="P9" s="19"/>
      <c r="Q9" s="19"/>
      <c r="R9" s="9"/>
    </row>
    <row r="10" spans="12:18" ht="12.75">
      <c r="L10" s="36"/>
      <c r="M10" s="18"/>
      <c r="Q10" s="18"/>
      <c r="R10" s="9"/>
    </row>
    <row r="11" ht="12.75">
      <c r="B11" s="12" t="s">
        <v>47</v>
      </c>
    </row>
    <row r="15" ht="12.75">
      <c r="B15" s="12" t="s">
        <v>48</v>
      </c>
    </row>
    <row r="16" ht="13.5" thickBot="1"/>
    <row r="17" spans="2:14" ht="13.5" thickBot="1">
      <c r="B17" s="77" t="s">
        <v>3</v>
      </c>
      <c r="C17" s="77"/>
      <c r="D17" s="77"/>
      <c r="E17" s="77"/>
      <c r="F17" s="77"/>
      <c r="G17" s="77"/>
      <c r="H17" s="77"/>
      <c r="I17" s="77"/>
      <c r="J17" s="77"/>
      <c r="K17" s="77"/>
      <c r="L17" s="77"/>
      <c r="M17" s="77"/>
      <c r="N17" s="77"/>
    </row>
    <row r="18" spans="2:14" ht="13.5" thickBot="1">
      <c r="B18" s="2"/>
      <c r="C18" s="10">
        <v>1</v>
      </c>
      <c r="D18" s="10">
        <v>2</v>
      </c>
      <c r="E18" s="10">
        <v>3</v>
      </c>
      <c r="F18" s="10">
        <v>4</v>
      </c>
      <c r="G18" s="10">
        <v>5</v>
      </c>
      <c r="H18" s="10">
        <v>6</v>
      </c>
      <c r="I18" s="10">
        <v>7</v>
      </c>
      <c r="J18" s="10">
        <v>8</v>
      </c>
      <c r="K18" s="10">
        <v>9</v>
      </c>
      <c r="L18" s="10">
        <v>10</v>
      </c>
      <c r="M18" s="10">
        <v>11</v>
      </c>
      <c r="N18" s="10">
        <v>12</v>
      </c>
    </row>
    <row r="19" spans="2:14" ht="13.5" thickBot="1">
      <c r="B19" s="11" t="s">
        <v>8</v>
      </c>
      <c r="C19" s="2"/>
      <c r="D19" s="2"/>
      <c r="E19" s="2"/>
      <c r="F19" s="2"/>
      <c r="G19" s="2"/>
      <c r="H19" s="2"/>
      <c r="I19" s="2"/>
      <c r="J19" s="2"/>
      <c r="K19" s="2"/>
      <c r="L19" s="2"/>
      <c r="M19" s="2"/>
      <c r="N19" s="2"/>
    </row>
    <row r="20" spans="2:14" ht="13.5" thickBot="1">
      <c r="B20" s="11" t="s">
        <v>9</v>
      </c>
      <c r="C20" s="2"/>
      <c r="D20" s="2"/>
      <c r="E20" s="2"/>
      <c r="F20" s="2"/>
      <c r="G20" s="2"/>
      <c r="H20" s="2"/>
      <c r="I20" s="2"/>
      <c r="J20" s="2"/>
      <c r="K20" s="2"/>
      <c r="L20" s="2"/>
      <c r="M20" s="2"/>
      <c r="N20" s="2"/>
    </row>
    <row r="21" spans="2:14" ht="13.5" thickBot="1">
      <c r="B21" s="11" t="s">
        <v>10</v>
      </c>
      <c r="C21" s="2"/>
      <c r="D21" s="2"/>
      <c r="E21" s="2"/>
      <c r="F21" s="2"/>
      <c r="G21" s="2"/>
      <c r="H21" s="2"/>
      <c r="I21" s="2"/>
      <c r="J21" s="2"/>
      <c r="K21" s="2"/>
      <c r="L21" s="2"/>
      <c r="M21" s="2"/>
      <c r="N21" s="2"/>
    </row>
    <row r="22" spans="2:23" ht="13.5" thickBot="1">
      <c r="B22" s="11" t="s">
        <v>11</v>
      </c>
      <c r="C22" s="2"/>
      <c r="D22" s="2"/>
      <c r="E22" s="2"/>
      <c r="F22" s="2"/>
      <c r="G22" s="2"/>
      <c r="H22" s="2"/>
      <c r="I22" s="2"/>
      <c r="J22" s="2"/>
      <c r="K22" s="2"/>
      <c r="L22" s="2"/>
      <c r="M22" s="2"/>
      <c r="N22" s="2"/>
      <c r="U22" s="47"/>
      <c r="V22" s="48"/>
      <c r="W22" s="48"/>
    </row>
    <row r="23" spans="2:14" ht="13.5" thickBot="1">
      <c r="B23" s="11" t="s">
        <v>12</v>
      </c>
      <c r="C23" s="2"/>
      <c r="D23" s="2"/>
      <c r="E23" s="2"/>
      <c r="F23" s="2"/>
      <c r="G23" s="2"/>
      <c r="H23" s="2"/>
      <c r="I23" s="2"/>
      <c r="J23" s="2"/>
      <c r="K23" s="2"/>
      <c r="L23" s="2"/>
      <c r="M23" s="2"/>
      <c r="N23" s="2"/>
    </row>
    <row r="24" spans="2:14" ht="13.5" thickBot="1">
      <c r="B24" s="11" t="s">
        <v>13</v>
      </c>
      <c r="C24" s="2"/>
      <c r="D24" s="2"/>
      <c r="E24" s="2"/>
      <c r="F24" s="2"/>
      <c r="G24" s="2"/>
      <c r="H24" s="2"/>
      <c r="I24" s="2"/>
      <c r="J24" s="2"/>
      <c r="K24" s="2"/>
      <c r="L24" s="2"/>
      <c r="M24" s="2"/>
      <c r="N24" s="2"/>
    </row>
    <row r="25" spans="2:14" ht="13.5" thickBot="1">
      <c r="B25" s="11" t="s">
        <v>14</v>
      </c>
      <c r="C25" s="2"/>
      <c r="D25" s="2"/>
      <c r="E25" s="2"/>
      <c r="F25" s="2"/>
      <c r="G25" s="2"/>
      <c r="H25" s="2"/>
      <c r="I25" s="2"/>
      <c r="J25" s="2"/>
      <c r="K25" s="2"/>
      <c r="L25" s="2"/>
      <c r="M25" s="2"/>
      <c r="N25" s="2"/>
    </row>
    <row r="26" spans="2:14" ht="13.5" thickBot="1">
      <c r="B26" s="11" t="s">
        <v>15</v>
      </c>
      <c r="C26" s="2"/>
      <c r="D26" s="2"/>
      <c r="E26" s="2"/>
      <c r="F26" s="2"/>
      <c r="G26" s="2"/>
      <c r="H26" s="2"/>
      <c r="I26" s="2"/>
      <c r="J26" s="2"/>
      <c r="K26" s="2"/>
      <c r="L26" s="2"/>
      <c r="M26" s="2"/>
      <c r="N26" s="2"/>
    </row>
    <row r="28" ht="12.75">
      <c r="B28" s="12" t="s">
        <v>49</v>
      </c>
    </row>
    <row r="29" spans="2:5" ht="13.5" thickBot="1">
      <c r="B29" s="16"/>
      <c r="C29" s="16"/>
      <c r="D29" s="16"/>
      <c r="E29" s="16"/>
    </row>
    <row r="30" spans="2:14" ht="13.5" thickBot="1">
      <c r="B30" s="71" t="s">
        <v>41</v>
      </c>
      <c r="C30" s="74"/>
      <c r="D30" s="74"/>
      <c r="E30" s="74"/>
      <c r="F30" s="74"/>
      <c r="G30" s="74"/>
      <c r="H30" s="74"/>
      <c r="I30" s="74"/>
      <c r="J30" s="74"/>
      <c r="K30" s="74"/>
      <c r="L30" s="74"/>
      <c r="M30" s="74"/>
      <c r="N30" s="75"/>
    </row>
    <row r="31" spans="2:14" ht="13.5" thickBot="1">
      <c r="B31" s="2"/>
      <c r="C31" s="24">
        <v>1</v>
      </c>
      <c r="D31" s="24">
        <v>2</v>
      </c>
      <c r="E31" s="24">
        <v>3</v>
      </c>
      <c r="F31" s="24">
        <v>4</v>
      </c>
      <c r="G31" s="24">
        <v>5</v>
      </c>
      <c r="H31" s="24">
        <v>6</v>
      </c>
      <c r="I31" s="24">
        <v>7</v>
      </c>
      <c r="J31" s="24">
        <v>8</v>
      </c>
      <c r="K31" s="24">
        <v>9</v>
      </c>
      <c r="L31" s="24">
        <v>10</v>
      </c>
      <c r="M31" s="24">
        <v>11</v>
      </c>
      <c r="N31" s="24">
        <v>12</v>
      </c>
    </row>
    <row r="32" spans="2:14" ht="13.5" thickBot="1">
      <c r="B32" s="23" t="s">
        <v>8</v>
      </c>
      <c r="C32" s="2" t="str">
        <f>IF(ISNUMBER(C19),IF(Рабочий!$F$37=1,Рабочий!$H$43*'ТОКСО, ЦМВ'!C19*125/AVERAGE($K$4:$K$9),Рабочий!$H$43*C19*1.6/AVERAGE($K$4:$K$9)),"      ")</f>
        <v>      </v>
      </c>
      <c r="D32" s="2" t="str">
        <f>IF(ISNUMBER(D19),IF(Рабочий!$F$37=1,Рабочий!$H$43*'ТОКСО, ЦМВ'!D19*125/AVERAGE($K$4:$K$9),Рабочий!$H$43*D19*1.6/AVERAGE($K$4:$K$9)),"      ")</f>
        <v>      </v>
      </c>
      <c r="E32" s="2" t="str">
        <f>IF(ISNUMBER(E19),IF(Рабочий!$F$37=1,Рабочий!$H$43*'ТОКСО, ЦМВ'!E19*125/AVERAGE($K$4:$K$9),Рабочий!$H$43*E19*1.6/AVERAGE($K$4:$K$9)),"      ")</f>
        <v>      </v>
      </c>
      <c r="F32" s="2" t="str">
        <f>IF(ISNUMBER(F19),IF(Рабочий!$F$37=1,Рабочий!$H$43*'ТОКСО, ЦМВ'!F19*125/AVERAGE($K$4:$K$9),Рабочий!$H$43*F19*1.6/AVERAGE($K$4:$K$9)),"      ")</f>
        <v>      </v>
      </c>
      <c r="G32" s="2" t="str">
        <f>IF(ISNUMBER(G19),IF(Рабочий!$F$37=1,Рабочий!$H$43*'ТОКСО, ЦМВ'!G19*125/AVERAGE($K$4:$K$9),Рабочий!$H$43*G19*1.6/AVERAGE($K$4:$K$9)),"      ")</f>
        <v>      </v>
      </c>
      <c r="H32" s="2" t="str">
        <f>IF(ISNUMBER(H19),IF(Рабочий!$F$37=1,Рабочий!$H$43*'ТОКСО, ЦМВ'!H19*125/AVERAGE($K$4:$K$9),Рабочий!$H$43*H19*1.6/AVERAGE($K$4:$K$9)),"      ")</f>
        <v>      </v>
      </c>
      <c r="I32" s="2" t="str">
        <f>IF(ISNUMBER(I19),IF(Рабочий!$F$37=1,Рабочий!$H$43*'ТОКСО, ЦМВ'!I19*125/AVERAGE($K$4:$K$9),Рабочий!$H$43*I19*1.6/AVERAGE($K$4:$K$9)),"      ")</f>
        <v>      </v>
      </c>
      <c r="J32" s="2" t="str">
        <f>IF(ISNUMBER(J19),IF(Рабочий!$F$37=1,Рабочий!$H$43*'ТОКСО, ЦМВ'!J19*125/AVERAGE($K$4:$K$9),Рабочий!$H$43*J19*1.6/AVERAGE($K$4:$K$9)),"      ")</f>
        <v>      </v>
      </c>
      <c r="K32" s="2" t="str">
        <f>IF(ISNUMBER(K19),IF(Рабочий!$F$37=1,Рабочий!$H$43*'ТОКСО, ЦМВ'!K19*125/AVERAGE($K$4:$K$9),Рабочий!$H$43*K19*1.6/AVERAGE($K$4:$K$9)),"      ")</f>
        <v>      </v>
      </c>
      <c r="L32" s="2" t="str">
        <f>IF(ISNUMBER(L19),IF(Рабочий!$F$37=1,Рабочий!$H$43*'ТОКСО, ЦМВ'!L19*125/AVERAGE($K$4:$K$9),Рабочий!$H$43*L19*1.6/AVERAGE($K$4:$K$9)),"      ")</f>
        <v>      </v>
      </c>
      <c r="M32" s="2" t="str">
        <f>IF(ISNUMBER(M19),IF(Рабочий!$F$37=1,Рабочий!$H$43*'ТОКСО, ЦМВ'!M19*125/AVERAGE($K$4:$K$9),Рабочий!$H$43*M19*1.6/AVERAGE($K$4:$K$9)),"      ")</f>
        <v>      </v>
      </c>
      <c r="N32" s="2" t="str">
        <f>IF(ISNUMBER(N19),IF(Рабочий!$F$37=1,Рабочий!$H$43*'ТОКСО, ЦМВ'!N19*125/AVERAGE($K$4:$K$9),Рабочий!$H$43*N19*1.6/AVERAGE($K$4:$K$9)),"      ")</f>
        <v>      </v>
      </c>
    </row>
    <row r="33" spans="2:14" ht="13.5" thickBot="1">
      <c r="B33" s="23" t="s">
        <v>9</v>
      </c>
      <c r="C33" s="2" t="str">
        <f>IF(ISNUMBER(C20),IF(Рабочий!$F$37=1,Рабочий!$H$43*'ТОКСО, ЦМВ'!C20*125/AVERAGE($K$4:$K$9),Рабочий!$H$43*C20*1.6/AVERAGE($K$4:$K$9)),"      ")</f>
        <v>      </v>
      </c>
      <c r="D33" s="2" t="str">
        <f>IF(ISNUMBER(D20),IF(Рабочий!$F$37=1,Рабочий!$H$43*'ТОКСО, ЦМВ'!D20*125/AVERAGE($K$4:$K$9),Рабочий!$H$43*D20*1.6/AVERAGE($K$4:$K$9)),"      ")</f>
        <v>      </v>
      </c>
      <c r="E33" s="2" t="str">
        <f>IF(ISNUMBER(E20),IF(Рабочий!$F$37=1,Рабочий!$H$43*'ТОКСО, ЦМВ'!E20*125/AVERAGE($K$4:$K$9),Рабочий!$H$43*E20*1.6/AVERAGE($K$4:$K$9)),"      ")</f>
        <v>      </v>
      </c>
      <c r="F33" s="2" t="str">
        <f>IF(ISNUMBER(F20),IF(Рабочий!$F$37=1,Рабочий!$H$43*'ТОКСО, ЦМВ'!F20*125/AVERAGE($K$4:$K$9),Рабочий!$H$43*F20*1.6/AVERAGE($K$4:$K$9)),"      ")</f>
        <v>      </v>
      </c>
      <c r="G33" s="2" t="str">
        <f>IF(ISNUMBER(G20),IF(Рабочий!$F$37=1,Рабочий!$H$43*'ТОКСО, ЦМВ'!G20*125/AVERAGE($K$4:$K$9),Рабочий!$H$43*G20*1.6/AVERAGE($K$4:$K$9)),"      ")</f>
        <v>      </v>
      </c>
      <c r="H33" s="2" t="str">
        <f>IF(ISNUMBER(H20),IF(Рабочий!$F$37=1,Рабочий!$H$43*'ТОКСО, ЦМВ'!H20*125/AVERAGE($K$4:$K$9),Рабочий!$H$43*H20*1.6/AVERAGE($K$4:$K$9)),"      ")</f>
        <v>      </v>
      </c>
      <c r="I33" s="2" t="str">
        <f>IF(ISNUMBER(I20),IF(Рабочий!$F$37=1,Рабочий!$H$43*'ТОКСО, ЦМВ'!I20*125/AVERAGE($K$4:$K$9),Рабочий!$H$43*I20*1.6/AVERAGE($K$4:$K$9)),"      ")</f>
        <v>      </v>
      </c>
      <c r="J33" s="2" t="str">
        <f>IF(ISNUMBER(J20),IF(Рабочий!$F$37=1,Рабочий!$H$43*'ТОКСО, ЦМВ'!J20*125/AVERAGE($K$4:$K$9),Рабочий!$H$43*J20*1.6/AVERAGE($K$4:$K$9)),"      ")</f>
        <v>      </v>
      </c>
      <c r="K33" s="2" t="str">
        <f>IF(ISNUMBER(K20),IF(Рабочий!$F$37=1,Рабочий!$H$43*'ТОКСО, ЦМВ'!K20*125/AVERAGE($K$4:$K$9),Рабочий!$H$43*K20*1.6/AVERAGE($K$4:$K$9)),"      ")</f>
        <v>      </v>
      </c>
      <c r="L33" s="2" t="str">
        <f>IF(ISNUMBER(L20),IF(Рабочий!$F$37=1,Рабочий!$H$43*'ТОКСО, ЦМВ'!L20*125/AVERAGE($K$4:$K$9),Рабочий!$H$43*L20*1.6/AVERAGE($K$4:$K$9)),"      ")</f>
        <v>      </v>
      </c>
      <c r="M33" s="2" t="str">
        <f>IF(ISNUMBER(M20),IF(Рабочий!$F$37=1,Рабочий!$H$43*'ТОКСО, ЦМВ'!M20*125/AVERAGE($K$4:$K$9),Рабочий!$H$43*M20*1.6/AVERAGE($K$4:$K$9)),"      ")</f>
        <v>      </v>
      </c>
      <c r="N33" s="2" t="str">
        <f>IF(ISNUMBER(N20),IF(Рабочий!$F$37=1,Рабочий!$H$43*'ТОКСО, ЦМВ'!N20*125/AVERAGE($K$4:$K$9),Рабочий!$H$43*N20*1.6/AVERAGE($K$4:$K$9)),"      ")</f>
        <v>      </v>
      </c>
    </row>
    <row r="34" spans="2:14" ht="13.5" thickBot="1">
      <c r="B34" s="23" t="s">
        <v>10</v>
      </c>
      <c r="C34" s="2" t="str">
        <f>IF(ISNUMBER(C21),IF(Рабочий!$F$37=1,Рабочий!$H$43*'ТОКСО, ЦМВ'!C21*125/AVERAGE($K$4:$K$9),Рабочий!$H$43*C21*1.6/AVERAGE($K$4:$K$9)),"      ")</f>
        <v>      </v>
      </c>
      <c r="D34" s="2" t="str">
        <f>IF(ISNUMBER(D21),IF(Рабочий!$F$37=1,Рабочий!$H$43*'ТОКСО, ЦМВ'!D21*125/AVERAGE($K$4:$K$9),Рабочий!$H$43*D21*1.6/AVERAGE($K$4:$K$9)),"      ")</f>
        <v>      </v>
      </c>
      <c r="E34" s="2" t="str">
        <f>IF(ISNUMBER(E21),IF(Рабочий!$F$37=1,Рабочий!$H$43*'ТОКСО, ЦМВ'!E21*125/AVERAGE($K$4:$K$9),Рабочий!$H$43*E21*1.6/AVERAGE($K$4:$K$9)),"      ")</f>
        <v>      </v>
      </c>
      <c r="F34" s="2" t="str">
        <f>IF(ISNUMBER(F21),IF(Рабочий!$F$37=1,Рабочий!$H$43*'ТОКСО, ЦМВ'!F21*125/AVERAGE($K$4:$K$9),Рабочий!$H$43*F21*1.6/AVERAGE($K$4:$K$9)),"      ")</f>
        <v>      </v>
      </c>
      <c r="G34" s="2" t="str">
        <f>IF(ISNUMBER(G21),IF(Рабочий!$F$37=1,Рабочий!$H$43*'ТОКСО, ЦМВ'!G21*125/AVERAGE($K$4:$K$9),Рабочий!$H$43*G21*1.6/AVERAGE($K$4:$K$9)),"      ")</f>
        <v>      </v>
      </c>
      <c r="H34" s="2" t="str">
        <f>IF(ISNUMBER(H21),IF(Рабочий!$F$37=1,Рабочий!$H$43*'ТОКСО, ЦМВ'!H21*125/AVERAGE($K$4:$K$9),Рабочий!$H$43*H21*1.6/AVERAGE($K$4:$K$9)),"      ")</f>
        <v>      </v>
      </c>
      <c r="I34" s="2" t="str">
        <f>IF(ISNUMBER(I21),IF(Рабочий!$F$37=1,Рабочий!$H$43*'ТОКСО, ЦМВ'!I21*125/AVERAGE($K$4:$K$9),Рабочий!$H$43*I21*1.6/AVERAGE($K$4:$K$9)),"      ")</f>
        <v>      </v>
      </c>
      <c r="J34" s="2" t="str">
        <f>IF(ISNUMBER(J21),IF(Рабочий!$F$37=1,Рабочий!$H$43*'ТОКСО, ЦМВ'!J21*125/AVERAGE($K$4:$K$9),Рабочий!$H$43*J21*1.6/AVERAGE($K$4:$K$9)),"      ")</f>
        <v>      </v>
      </c>
      <c r="K34" s="2" t="str">
        <f>IF(ISNUMBER(K21),IF(Рабочий!$F$37=1,Рабочий!$H$43*'ТОКСО, ЦМВ'!K21*125/AVERAGE($K$4:$K$9),Рабочий!$H$43*K21*1.6/AVERAGE($K$4:$K$9)),"      ")</f>
        <v>      </v>
      </c>
      <c r="L34" s="2" t="str">
        <f>IF(ISNUMBER(L21),IF(Рабочий!$F$37=1,Рабочий!$H$43*'ТОКСО, ЦМВ'!L21*125/AVERAGE($K$4:$K$9),Рабочий!$H$43*L21*1.6/AVERAGE($K$4:$K$9)),"      ")</f>
        <v>      </v>
      </c>
      <c r="M34" s="2" t="str">
        <f>IF(ISNUMBER(M21),IF(Рабочий!$F$37=1,Рабочий!$H$43*'ТОКСО, ЦМВ'!M21*125/AVERAGE($K$4:$K$9),Рабочий!$H$43*M21*1.6/AVERAGE($K$4:$K$9)),"      ")</f>
        <v>      </v>
      </c>
      <c r="N34" s="2" t="str">
        <f>IF(ISNUMBER(N21),IF(Рабочий!$F$37=1,Рабочий!$H$43*'ТОКСО, ЦМВ'!N21*125/AVERAGE($K$4:$K$9),Рабочий!$H$43*N21*1.6/AVERAGE($K$4:$K$9)),"      ")</f>
        <v>      </v>
      </c>
    </row>
    <row r="35" spans="2:14" ht="13.5" thickBot="1">
      <c r="B35" s="23" t="s">
        <v>11</v>
      </c>
      <c r="C35" s="2" t="str">
        <f>IF(ISNUMBER(C22),IF(Рабочий!$F$37=1,Рабочий!$H$43*'ТОКСО, ЦМВ'!C22*125/AVERAGE($K$4:$K$9),Рабочий!$H$43*C22*1.6/AVERAGE($K$4:$K$9)),"      ")</f>
        <v>      </v>
      </c>
      <c r="D35" s="2" t="str">
        <f>IF(ISNUMBER(D22),IF(Рабочий!$F$37=1,Рабочий!$H$43*'ТОКСО, ЦМВ'!D22*125/AVERAGE($K$4:$K$9),Рабочий!$H$43*D22*1.6/AVERAGE($K$4:$K$9)),"      ")</f>
        <v>      </v>
      </c>
      <c r="E35" s="2" t="str">
        <f>IF(ISNUMBER(E22),IF(Рабочий!$F$37=1,Рабочий!$H$43*'ТОКСО, ЦМВ'!E22*125/AVERAGE($K$4:$K$9),Рабочий!$H$43*E22*1.6/AVERAGE($K$4:$K$9)),"      ")</f>
        <v>      </v>
      </c>
      <c r="F35" s="2" t="str">
        <f>IF(ISNUMBER(F22),IF(Рабочий!$F$37=1,Рабочий!$H$43*'ТОКСО, ЦМВ'!F22*125/AVERAGE($K$4:$K$9),Рабочий!$H$43*F22*1.6/AVERAGE($K$4:$K$9)),"      ")</f>
        <v>      </v>
      </c>
      <c r="G35" s="2" t="str">
        <f>IF(ISNUMBER(G22),IF(Рабочий!$F$37=1,Рабочий!$H$43*'ТОКСО, ЦМВ'!G22*125/AVERAGE($K$4:$K$9),Рабочий!$H$43*G22*1.6/AVERAGE($K$4:$K$9)),"      ")</f>
        <v>      </v>
      </c>
      <c r="H35" s="2" t="str">
        <f>IF(ISNUMBER(H22),IF(Рабочий!$F$37=1,Рабочий!$H$43*'ТОКСО, ЦМВ'!H22*125/AVERAGE($K$4:$K$9),Рабочий!$H$43*H22*1.6/AVERAGE($K$4:$K$9)),"      ")</f>
        <v>      </v>
      </c>
      <c r="I35" s="2" t="str">
        <f>IF(ISNUMBER(I22),IF(Рабочий!$F$37=1,Рабочий!$H$43*'ТОКСО, ЦМВ'!I22*125/AVERAGE($K$4:$K$9),Рабочий!$H$43*I22*1.6/AVERAGE($K$4:$K$9)),"      ")</f>
        <v>      </v>
      </c>
      <c r="J35" s="2" t="str">
        <f>IF(ISNUMBER(J22),IF(Рабочий!$F$37=1,Рабочий!$H$43*'ТОКСО, ЦМВ'!J22*125/AVERAGE($K$4:$K$9),Рабочий!$H$43*J22*1.6/AVERAGE($K$4:$K$9)),"      ")</f>
        <v>      </v>
      </c>
      <c r="K35" s="2" t="str">
        <f>IF(ISNUMBER(K22),IF(Рабочий!$F$37=1,Рабочий!$H$43*'ТОКСО, ЦМВ'!K22*125/AVERAGE($K$4:$K$9),Рабочий!$H$43*K22*1.6/AVERAGE($K$4:$K$9)),"      ")</f>
        <v>      </v>
      </c>
      <c r="L35" s="2" t="str">
        <f>IF(ISNUMBER(L22),IF(Рабочий!$F$37=1,Рабочий!$H$43*'ТОКСО, ЦМВ'!L22*125/AVERAGE($K$4:$K$9),Рабочий!$H$43*L22*1.6/AVERAGE($K$4:$K$9)),"      ")</f>
        <v>      </v>
      </c>
      <c r="M35" s="2" t="str">
        <f>IF(ISNUMBER(M22),IF(Рабочий!$F$37=1,Рабочий!$H$43*'ТОКСО, ЦМВ'!M22*125/AVERAGE($K$4:$K$9),Рабочий!$H$43*M22*1.6/AVERAGE($K$4:$K$9)),"      ")</f>
        <v>      </v>
      </c>
      <c r="N35" s="2" t="str">
        <f>IF(ISNUMBER(N22),IF(Рабочий!$F$37=1,Рабочий!$H$43*'ТОКСО, ЦМВ'!N22*125/AVERAGE($K$4:$K$9),Рабочий!$H$43*N22*1.6/AVERAGE($K$4:$K$9)),"      ")</f>
        <v>      </v>
      </c>
    </row>
    <row r="36" spans="2:14" ht="13.5" thickBot="1">
      <c r="B36" s="23" t="s">
        <v>12</v>
      </c>
      <c r="C36" s="2" t="str">
        <f>IF(ISNUMBER(C23),IF(Рабочий!$F$37=1,Рабочий!$H$43*'ТОКСО, ЦМВ'!C23*125/AVERAGE($K$4:$K$9),Рабочий!$H$43*C23*1.6/AVERAGE($K$4:$K$9)),"      ")</f>
        <v>      </v>
      </c>
      <c r="D36" s="2" t="str">
        <f>IF(ISNUMBER(D23),IF(Рабочий!$F$37=1,Рабочий!$H$43*'ТОКСО, ЦМВ'!D23*125/AVERAGE($K$4:$K$9),Рабочий!$H$43*D23*1.6/AVERAGE($K$4:$K$9)),"      ")</f>
        <v>      </v>
      </c>
      <c r="E36" s="2" t="str">
        <f>IF(ISNUMBER(E23),IF(Рабочий!$F$37=1,Рабочий!$H$43*'ТОКСО, ЦМВ'!E23*125/AVERAGE($K$4:$K$9),Рабочий!$H$43*E23*1.6/AVERAGE($K$4:$K$9)),"      ")</f>
        <v>      </v>
      </c>
      <c r="F36" s="2" t="str">
        <f>IF(ISNUMBER(F23),IF(Рабочий!$F$37=1,Рабочий!$H$43*'ТОКСО, ЦМВ'!F23*125/AVERAGE($K$4:$K$9),Рабочий!$H$43*F23*1.6/AVERAGE($K$4:$K$9)),"      ")</f>
        <v>      </v>
      </c>
      <c r="G36" s="2" t="str">
        <f>IF(ISNUMBER(G23),IF(Рабочий!$F$37=1,Рабочий!$H$43*'ТОКСО, ЦМВ'!G23*125/AVERAGE($K$4:$K$9),Рабочий!$H$43*G23*1.6/AVERAGE($K$4:$K$9)),"      ")</f>
        <v>      </v>
      </c>
      <c r="H36" s="2" t="str">
        <f>IF(ISNUMBER(H23),IF(Рабочий!$F$37=1,Рабочий!$H$43*'ТОКСО, ЦМВ'!H23*125/AVERAGE($K$4:$K$9),Рабочий!$H$43*H23*1.6/AVERAGE($K$4:$K$9)),"      ")</f>
        <v>      </v>
      </c>
      <c r="I36" s="2" t="str">
        <f>IF(ISNUMBER(I23),IF(Рабочий!$F$37=1,Рабочий!$H$43*'ТОКСО, ЦМВ'!I23*125/AVERAGE($K$4:$K$9),Рабочий!$H$43*I23*1.6/AVERAGE($K$4:$K$9)),"      ")</f>
        <v>      </v>
      </c>
      <c r="J36" s="2" t="str">
        <f>IF(ISNUMBER(J23),IF(Рабочий!$F$37=1,Рабочий!$H$43*'ТОКСО, ЦМВ'!J23*125/AVERAGE($K$4:$K$9),Рабочий!$H$43*J23*1.6/AVERAGE($K$4:$K$9)),"      ")</f>
        <v>      </v>
      </c>
      <c r="K36" s="2" t="str">
        <f>IF(ISNUMBER(K23),IF(Рабочий!$F$37=1,Рабочий!$H$43*'ТОКСО, ЦМВ'!K23*125/AVERAGE($K$4:$K$9),Рабочий!$H$43*K23*1.6/AVERAGE($K$4:$K$9)),"      ")</f>
        <v>      </v>
      </c>
      <c r="L36" s="2" t="str">
        <f>IF(ISNUMBER(L23),IF(Рабочий!$F$37=1,Рабочий!$H$43*'ТОКСО, ЦМВ'!L23*125/AVERAGE($K$4:$K$9),Рабочий!$H$43*L23*1.6/AVERAGE($K$4:$K$9)),"      ")</f>
        <v>      </v>
      </c>
      <c r="M36" s="2" t="str">
        <f>IF(ISNUMBER(M23),IF(Рабочий!$F$37=1,Рабочий!$H$43*'ТОКСО, ЦМВ'!M23*125/AVERAGE($K$4:$K$9),Рабочий!$H$43*M23*1.6/AVERAGE($K$4:$K$9)),"      ")</f>
        <v>      </v>
      </c>
      <c r="N36" s="2" t="str">
        <f>IF(ISNUMBER(N23),IF(Рабочий!$F$37=1,Рабочий!$H$43*'ТОКСО, ЦМВ'!N23*125/AVERAGE($K$4:$K$9),Рабочий!$H$43*N23*1.6/AVERAGE($K$4:$K$9)),"      ")</f>
        <v>      </v>
      </c>
    </row>
    <row r="37" spans="2:22" ht="13.5" thickBot="1">
      <c r="B37" s="23" t="s">
        <v>13</v>
      </c>
      <c r="C37" s="2" t="str">
        <f>IF(ISNUMBER(C24),IF(Рабочий!$F$37=1,Рабочий!$H$43*'ТОКСО, ЦМВ'!C24*125/AVERAGE($K$4:$K$9),Рабочий!$H$43*C24*1.6/AVERAGE($K$4:$K$9)),"      ")</f>
        <v>      </v>
      </c>
      <c r="D37" s="2" t="str">
        <f>IF(ISNUMBER(D24),IF(Рабочий!$F$37=1,Рабочий!$H$43*'ТОКСО, ЦМВ'!D24*125/AVERAGE($K$4:$K$9),Рабочий!$H$43*D24*1.6/AVERAGE($K$4:$K$9)),"      ")</f>
        <v>      </v>
      </c>
      <c r="E37" s="2" t="str">
        <f>IF(ISNUMBER(E24),IF(Рабочий!$F$37=1,Рабочий!$H$43*'ТОКСО, ЦМВ'!E24*125/AVERAGE($K$4:$K$9),Рабочий!$H$43*E24*1.6/AVERAGE($K$4:$K$9)),"      ")</f>
        <v>      </v>
      </c>
      <c r="F37" s="2" t="str">
        <f>IF(ISNUMBER(F24),IF(Рабочий!$F$37=1,Рабочий!$H$43*'ТОКСО, ЦМВ'!F24*125/AVERAGE($K$4:$K$9),Рабочий!$H$43*F24*1.6/AVERAGE($K$4:$K$9)),"      ")</f>
        <v>      </v>
      </c>
      <c r="G37" s="2" t="str">
        <f>IF(ISNUMBER(G24),IF(Рабочий!$F$37=1,Рабочий!$H$43*'ТОКСО, ЦМВ'!G24*125/AVERAGE($K$4:$K$9),Рабочий!$H$43*G24*1.6/AVERAGE($K$4:$K$9)),"      ")</f>
        <v>      </v>
      </c>
      <c r="H37" s="2" t="str">
        <f>IF(ISNUMBER(H24),IF(Рабочий!$F$37=1,Рабочий!$H$43*'ТОКСО, ЦМВ'!H24*125/AVERAGE($K$4:$K$9),Рабочий!$H$43*H24*1.6/AVERAGE($K$4:$K$9)),"      ")</f>
        <v>      </v>
      </c>
      <c r="I37" s="2" t="str">
        <f>IF(ISNUMBER(I24),IF(Рабочий!$F$37=1,Рабочий!$H$43*'ТОКСО, ЦМВ'!I24*125/AVERAGE($K$4:$K$9),Рабочий!$H$43*I24*1.6/AVERAGE($K$4:$K$9)),"      ")</f>
        <v>      </v>
      </c>
      <c r="J37" s="2" t="str">
        <f>IF(ISNUMBER(J24),IF(Рабочий!$F$37=1,Рабочий!$H$43*'ТОКСО, ЦМВ'!J24*125/AVERAGE($K$4:$K$9),Рабочий!$H$43*J24*1.6/AVERAGE($K$4:$K$9)),"      ")</f>
        <v>      </v>
      </c>
      <c r="K37" s="2" t="str">
        <f>IF(ISNUMBER(K24),IF(Рабочий!$F$37=1,Рабочий!$H$43*'ТОКСО, ЦМВ'!K24*125/AVERAGE($K$4:$K$9),Рабочий!$H$43*K24*1.6/AVERAGE($K$4:$K$9)),"      ")</f>
        <v>      </v>
      </c>
      <c r="L37" s="2" t="str">
        <f>IF(ISNUMBER(L24),IF(Рабочий!$F$37=1,Рабочий!$H$43*'ТОКСО, ЦМВ'!L24*125/AVERAGE($K$4:$K$9),Рабочий!$H$43*L24*1.6/AVERAGE($K$4:$K$9)),"      ")</f>
        <v>      </v>
      </c>
      <c r="M37" s="2" t="str">
        <f>IF(ISNUMBER(M24),IF(Рабочий!$F$37=1,Рабочий!$H$43*'ТОКСО, ЦМВ'!M24*125/AVERAGE($K$4:$K$9),Рабочий!$H$43*M24*1.6/AVERAGE($K$4:$K$9)),"      ")</f>
        <v>      </v>
      </c>
      <c r="N37" s="2" t="str">
        <f>IF(ISNUMBER(N24),IF(Рабочий!$F$37=1,Рабочий!$H$43*'ТОКСО, ЦМВ'!N24*125/AVERAGE($K$4:$K$9),Рабочий!$H$43*N24*1.6/AVERAGE($K$4:$K$9)),"      ")</f>
        <v>      </v>
      </c>
      <c r="P37" s="25"/>
      <c r="Q37" s="25"/>
      <c r="R37" s="25"/>
      <c r="S37" s="25"/>
      <c r="T37" s="25"/>
      <c r="U37" s="25"/>
      <c r="V37" s="25"/>
    </row>
    <row r="38" spans="2:22" ht="13.5" thickBot="1">
      <c r="B38" s="23" t="s">
        <v>14</v>
      </c>
      <c r="C38" s="2" t="str">
        <f>IF(ISNUMBER(C25),IF(Рабочий!$F$37=1,Рабочий!$H$43*'ТОКСО, ЦМВ'!C25*125/AVERAGE($K$4:$K$9),Рабочий!$H$43*C25*1.6/AVERAGE($K$4:$K$9)),"      ")</f>
        <v>      </v>
      </c>
      <c r="D38" s="2" t="str">
        <f>IF(ISNUMBER(D25),IF(Рабочий!$F$37=1,Рабочий!$H$43*'ТОКСО, ЦМВ'!D25*125/AVERAGE($K$4:$K$9),Рабочий!$H$43*D25*1.6/AVERAGE($K$4:$K$9)),"      ")</f>
        <v>      </v>
      </c>
      <c r="E38" s="2" t="str">
        <f>IF(ISNUMBER(E25),IF(Рабочий!$F$37=1,Рабочий!$H$43*'ТОКСО, ЦМВ'!E25*125/AVERAGE($K$4:$K$9),Рабочий!$H$43*E25*1.6/AVERAGE($K$4:$K$9)),"      ")</f>
        <v>      </v>
      </c>
      <c r="F38" s="2" t="str">
        <f>IF(ISNUMBER(F25),IF(Рабочий!$F$37=1,Рабочий!$H$43*'ТОКСО, ЦМВ'!F25*125/AVERAGE($K$4:$K$9),Рабочий!$H$43*F25*1.6/AVERAGE($K$4:$K$9)),"      ")</f>
        <v>      </v>
      </c>
      <c r="G38" s="2" t="str">
        <f>IF(ISNUMBER(G25),IF(Рабочий!$F$37=1,Рабочий!$H$43*'ТОКСО, ЦМВ'!G25*125/AVERAGE($K$4:$K$9),Рабочий!$H$43*G25*1.6/AVERAGE($K$4:$K$9)),"      ")</f>
        <v>      </v>
      </c>
      <c r="H38" s="2" t="str">
        <f>IF(ISNUMBER(H25),IF(Рабочий!$F$37=1,Рабочий!$H$43*'ТОКСО, ЦМВ'!H25*125/AVERAGE($K$4:$K$9),Рабочий!$H$43*H25*1.6/AVERAGE($K$4:$K$9)),"      ")</f>
        <v>      </v>
      </c>
      <c r="I38" s="2" t="str">
        <f>IF(ISNUMBER(I25),IF(Рабочий!$F$37=1,Рабочий!$H$43*'ТОКСО, ЦМВ'!I25*125/AVERAGE($K$4:$K$9),Рабочий!$H$43*I25*1.6/AVERAGE($K$4:$K$9)),"      ")</f>
        <v>      </v>
      </c>
      <c r="J38" s="2" t="str">
        <f>IF(ISNUMBER(J25),IF(Рабочий!$F$37=1,Рабочий!$H$43*'ТОКСО, ЦМВ'!J25*125/AVERAGE($K$4:$K$9),Рабочий!$H$43*J25*1.6/AVERAGE($K$4:$K$9)),"      ")</f>
        <v>      </v>
      </c>
      <c r="K38" s="2" t="str">
        <f>IF(ISNUMBER(K25),IF(Рабочий!$F$37=1,Рабочий!$H$43*'ТОКСО, ЦМВ'!K25*125/AVERAGE($K$4:$K$9),Рабочий!$H$43*K25*1.6/AVERAGE($K$4:$K$9)),"      ")</f>
        <v>      </v>
      </c>
      <c r="L38" s="2" t="str">
        <f>IF(ISNUMBER(L25),IF(Рабочий!$F$37=1,Рабочий!$H$43*'ТОКСО, ЦМВ'!L25*125/AVERAGE($K$4:$K$9),Рабочий!$H$43*L25*1.6/AVERAGE($K$4:$K$9)),"      ")</f>
        <v>      </v>
      </c>
      <c r="M38" s="2" t="str">
        <f>IF(ISNUMBER(M25),IF(Рабочий!$F$37=1,Рабочий!$H$43*'ТОКСО, ЦМВ'!M25*125/AVERAGE($K$4:$K$9),Рабочий!$H$43*M25*1.6/AVERAGE($K$4:$K$9)),"      ")</f>
        <v>      </v>
      </c>
      <c r="N38" s="2" t="str">
        <f>IF(ISNUMBER(N25),IF(Рабочий!$F$37=1,Рабочий!$H$43*'ТОКСО, ЦМВ'!N25*125/AVERAGE($K$4:$K$9),Рабочий!$H$43*N25*1.6/AVERAGE($K$4:$K$9)),"      ")</f>
        <v>      </v>
      </c>
      <c r="P38" s="20"/>
      <c r="Q38" s="20"/>
      <c r="R38" s="20"/>
      <c r="S38" s="20"/>
      <c r="T38" s="20"/>
      <c r="U38" s="20"/>
      <c r="V38" s="20"/>
    </row>
    <row r="39" spans="2:22" ht="13.5" thickBot="1">
      <c r="B39" s="23" t="s">
        <v>15</v>
      </c>
      <c r="C39" s="2" t="str">
        <f>IF(ISNUMBER(C26),IF(Рабочий!$F$37=1,Рабочий!$H$43*'ТОКСО, ЦМВ'!C26*125/AVERAGE($K$4:$K$9),Рабочий!$H$43*C26*1.6/AVERAGE($K$4:$K$9)),"      ")</f>
        <v>      </v>
      </c>
      <c r="D39" s="2" t="str">
        <f>IF(ISNUMBER(D26),IF(Рабочий!$F$37=1,Рабочий!$H$43*'ТОКСО, ЦМВ'!D26*125/AVERAGE($K$4:$K$9),Рабочий!$H$43*D26*1.6/AVERAGE($K$4:$K$9)),"      ")</f>
        <v>      </v>
      </c>
      <c r="E39" s="2" t="str">
        <f>IF(ISNUMBER(E26),IF(Рабочий!$F$37=1,Рабочий!$H$43*'ТОКСО, ЦМВ'!E26*125/AVERAGE($K$4:$K$9),Рабочий!$H$43*E26*1.6/AVERAGE($K$4:$K$9)),"      ")</f>
        <v>      </v>
      </c>
      <c r="F39" s="2" t="str">
        <f>IF(ISNUMBER(F26),IF(Рабочий!$F$37=1,Рабочий!$H$43*'ТОКСО, ЦМВ'!F26*125/AVERAGE($K$4:$K$9),Рабочий!$H$43*F26*1.6/AVERAGE($K$4:$K$9)),"      ")</f>
        <v>      </v>
      </c>
      <c r="G39" s="2" t="str">
        <f>IF(ISNUMBER(G26),IF(Рабочий!$F$37=1,Рабочий!$H$43*'ТОКСО, ЦМВ'!G26*125/AVERAGE($K$4:$K$9),Рабочий!$H$43*G26*1.6/AVERAGE($K$4:$K$9)),"      ")</f>
        <v>      </v>
      </c>
      <c r="H39" s="2" t="str">
        <f>IF(ISNUMBER(H26),IF(Рабочий!$F$37=1,Рабочий!$H$43*'ТОКСО, ЦМВ'!H26*125/AVERAGE($K$4:$K$9),Рабочий!$H$43*H26*1.6/AVERAGE($K$4:$K$9)),"      ")</f>
        <v>      </v>
      </c>
      <c r="I39" s="2" t="str">
        <f>IF(ISNUMBER(I26),IF(Рабочий!$F$37=1,Рабочий!$H$43*'ТОКСО, ЦМВ'!I26*125/AVERAGE($K$4:$K$9),Рабочий!$H$43*I26*1.6/AVERAGE($K$4:$K$9)),"      ")</f>
        <v>      </v>
      </c>
      <c r="J39" s="2" t="str">
        <f>IF(ISNUMBER(J26),IF(Рабочий!$F$37=1,Рабочий!$H$43*'ТОКСО, ЦМВ'!J26*125/AVERAGE($K$4:$K$9),Рабочий!$H$43*J26*1.6/AVERAGE($K$4:$K$9)),"      ")</f>
        <v>      </v>
      </c>
      <c r="K39" s="2" t="str">
        <f>IF(ISNUMBER(K26),IF(Рабочий!$F$37=1,Рабочий!$H$43*'ТОКСО, ЦМВ'!K26*125/AVERAGE($K$4:$K$9),Рабочий!$H$43*K26*1.6/AVERAGE($K$4:$K$9)),"      ")</f>
        <v>      </v>
      </c>
      <c r="L39" s="2" t="str">
        <f>IF(ISNUMBER(L26),IF(Рабочий!$F$37=1,Рабочий!$H$43*'ТОКСО, ЦМВ'!L26*125/AVERAGE($K$4:$K$9),Рабочий!$H$43*L26*1.6/AVERAGE($K$4:$K$9)),"      ")</f>
        <v>      </v>
      </c>
      <c r="M39" s="2" t="str">
        <f>IF(ISNUMBER(M26),IF(Рабочий!$F$37=1,Рабочий!$H$43*'ТОКСО, ЦМВ'!M26*125/AVERAGE($K$4:$K$9),Рабочий!$H$43*M26*1.6/AVERAGE($K$4:$K$9)),"      ")</f>
        <v>      </v>
      </c>
      <c r="N39" s="2" t="str">
        <f>IF(ISNUMBER(N26),IF(Рабочий!$F$37=1,Рабочий!$H$43*'ТОКСО, ЦМВ'!N26*125/AVERAGE($K$4:$K$9),Рабочий!$H$43*N26*1.6/AVERAGE($K$4:$K$9)),"      ")</f>
        <v>      </v>
      </c>
      <c r="P39" s="22"/>
      <c r="Q39" s="22"/>
      <c r="R39" s="22"/>
      <c r="S39" s="22"/>
      <c r="T39" s="22"/>
      <c r="U39" s="22"/>
      <c r="V39" s="22"/>
    </row>
    <row r="40" spans="4:22" ht="12.75">
      <c r="D40" s="9"/>
      <c r="P40" s="22"/>
      <c r="Q40" s="22"/>
      <c r="R40" s="22"/>
      <c r="S40" s="22"/>
      <c r="T40" s="22"/>
      <c r="U40" s="22"/>
      <c r="V40" s="22"/>
    </row>
    <row r="41" spans="3:22" ht="12.75">
      <c r="C41" s="12" t="s">
        <v>20</v>
      </c>
      <c r="D41" s="9"/>
      <c r="J41" s="25"/>
      <c r="K41" s="25"/>
      <c r="L41" s="25"/>
      <c r="M41" s="25"/>
      <c r="N41" s="25"/>
      <c r="O41" s="25"/>
      <c r="P41" s="22"/>
      <c r="Q41" s="22"/>
      <c r="R41" s="22"/>
      <c r="S41" s="22"/>
      <c r="T41" s="22"/>
      <c r="U41" s="22"/>
      <c r="V41" s="22"/>
    </row>
    <row r="42" spans="3:22" ht="12.75">
      <c r="C42" s="27"/>
      <c r="D42" s="26" t="s">
        <v>21</v>
      </c>
      <c r="I42" s="28"/>
      <c r="J42" s="26" t="s">
        <v>22</v>
      </c>
      <c r="K42" s="20"/>
      <c r="L42" s="20"/>
      <c r="M42" s="20"/>
      <c r="N42" s="20"/>
      <c r="O42" s="20"/>
      <c r="P42" s="22"/>
      <c r="Q42" s="22"/>
      <c r="R42" s="22"/>
      <c r="S42" s="22"/>
      <c r="T42" s="22"/>
      <c r="U42" s="22"/>
      <c r="V42" s="22"/>
    </row>
    <row r="43" spans="10:22" ht="12.75">
      <c r="J43" s="21"/>
      <c r="K43" s="22"/>
      <c r="L43" s="22"/>
      <c r="M43" s="22"/>
      <c r="N43" s="22"/>
      <c r="O43" s="22"/>
      <c r="P43" s="22"/>
      <c r="Q43" s="22"/>
      <c r="R43" s="22"/>
      <c r="S43" s="22"/>
      <c r="T43" s="22"/>
      <c r="U43" s="22"/>
      <c r="V43" s="22"/>
    </row>
    <row r="44" spans="10:22" ht="12.75">
      <c r="J44" s="21"/>
      <c r="K44" s="22"/>
      <c r="L44" s="22"/>
      <c r="M44" s="22"/>
      <c r="N44" s="22"/>
      <c r="O44" s="22"/>
      <c r="P44" s="22"/>
      <c r="Q44" s="22"/>
      <c r="R44" s="22"/>
      <c r="S44" s="22"/>
      <c r="T44" s="22"/>
      <c r="U44" s="22"/>
      <c r="V44" s="22"/>
    </row>
    <row r="45" spans="10:22" ht="12.75">
      <c r="J45" s="21"/>
      <c r="K45" s="22"/>
      <c r="L45" s="22"/>
      <c r="M45" s="22"/>
      <c r="N45" s="22"/>
      <c r="O45" s="22"/>
      <c r="P45" s="22"/>
      <c r="Q45" s="22"/>
      <c r="R45" s="22"/>
      <c r="S45" s="22"/>
      <c r="T45" s="22"/>
      <c r="U45" s="22"/>
      <c r="V45" s="22"/>
    </row>
    <row r="46" spans="10:22" ht="12.75">
      <c r="J46" s="21"/>
      <c r="K46" s="22"/>
      <c r="L46" s="22"/>
      <c r="M46" s="22"/>
      <c r="N46" s="22"/>
      <c r="O46" s="22"/>
      <c r="P46" s="22"/>
      <c r="Q46" s="22"/>
      <c r="R46" s="22"/>
      <c r="S46" s="22"/>
      <c r="T46" s="22"/>
      <c r="U46" s="22"/>
      <c r="V46" s="22"/>
    </row>
    <row r="61" spans="3:4" ht="12.75" hidden="1">
      <c r="C61">
        <f>IF(Рабочий!F37=1,30,IF(Рабочий!F37=2,0.5,0))</f>
        <v>0.5</v>
      </c>
      <c r="D61">
        <f>IF(Рабочий!F37=1,30,IF(Рабочий!F37=2,0.7,0))</f>
        <v>0.7</v>
      </c>
    </row>
  </sheetData>
  <sheetProtection password="CF3A" sheet="1" objects="1" scenarios="1"/>
  <protectedRanges>
    <protectedRange sqref="C19:N26" name="Диапазон2"/>
    <protectedRange sqref="K4:K9" name="Диапазон1"/>
  </protectedRanges>
  <mergeCells count="2">
    <mergeCell ref="B17:N17"/>
    <mergeCell ref="B30:N30"/>
  </mergeCells>
  <conditionalFormatting sqref="C32:N39">
    <cfRule type="cellIs" priority="1" dxfId="1" operator="between" stopIfTrue="1">
      <formula>$C$61</formula>
      <formula>$D$61</formula>
    </cfRule>
    <cfRule type="cellIs" priority="2" dxfId="0" operator="lessThan" stopIfTrue="1">
      <formula>$C$61</formula>
    </cfRule>
  </conditionalFormatting>
  <printOptions/>
  <pageMargins left="0.75" right="0.75" top="1" bottom="1" header="0.5" footer="0.5"/>
  <pageSetup horizontalDpi="600" verticalDpi="600" orientation="portrait" paperSize="9" r:id="rId3"/>
  <drawing r:id="rId2"/>
  <legacyDrawing r:id="rId1"/>
</worksheet>
</file>

<file path=xl/worksheets/sheet4.xml><?xml version="1.0" encoding="utf-8"?>
<worksheet xmlns="http://schemas.openxmlformats.org/spreadsheetml/2006/main" xmlns:r="http://schemas.openxmlformats.org/officeDocument/2006/relationships">
  <sheetPr codeName="Лист2"/>
  <dimension ref="A3:Z55"/>
  <sheetViews>
    <sheetView zoomScalePageLayoutView="0" workbookViewId="0" topLeftCell="G1">
      <selection activeCell="G47" sqref="A1:IV47"/>
    </sheetView>
  </sheetViews>
  <sheetFormatPr defaultColWidth="9.00390625" defaultRowHeight="12.75"/>
  <cols>
    <col min="1" max="13" width="8.75390625" style="0" customWidth="1"/>
    <col min="14" max="32" width="10.00390625" style="0" customWidth="1"/>
  </cols>
  <sheetData>
    <row r="1" ht="13.5" customHeight="1"/>
    <row r="2" ht="13.5" customHeight="1"/>
    <row r="3" ht="13.5" customHeight="1">
      <c r="C3" t="s">
        <v>31</v>
      </c>
    </row>
    <row r="4" spans="3:15" ht="13.5" customHeight="1">
      <c r="C4" t="s">
        <v>125</v>
      </c>
      <c r="L4" t="s">
        <v>7</v>
      </c>
      <c r="M4">
        <v>55</v>
      </c>
      <c r="N4">
        <v>180</v>
      </c>
      <c r="O4" t="s">
        <v>16</v>
      </c>
    </row>
    <row r="5" spans="3:14" ht="13.5" customHeight="1">
      <c r="C5" t="str">
        <f>MID(C4,4,LEN(C4)-3)</f>
        <v> 1,1239x3 - 4,783x2 + 7,3609x + 0,4944</v>
      </c>
      <c r="L5" t="s">
        <v>4</v>
      </c>
      <c r="M5">
        <v>40</v>
      </c>
      <c r="N5">
        <v>120</v>
      </c>
    </row>
    <row r="6" spans="12:14" ht="13.5" customHeight="1">
      <c r="L6" t="s">
        <v>5</v>
      </c>
      <c r="M6">
        <v>30</v>
      </c>
      <c r="N6">
        <v>150</v>
      </c>
    </row>
    <row r="7" spans="3:14" ht="13.5" customHeight="1">
      <c r="C7" s="29"/>
      <c r="D7" s="29" t="s">
        <v>24</v>
      </c>
      <c r="E7" s="29" t="s">
        <v>25</v>
      </c>
      <c r="F7" s="29" t="s">
        <v>26</v>
      </c>
      <c r="G7" s="29" t="s">
        <v>27</v>
      </c>
      <c r="I7">
        <v>5</v>
      </c>
      <c r="L7" t="s">
        <v>6</v>
      </c>
      <c r="M7">
        <v>20</v>
      </c>
      <c r="N7">
        <v>80</v>
      </c>
    </row>
    <row r="8" spans="3:9" ht="13.5" customHeight="1">
      <c r="C8" t="s">
        <v>28</v>
      </c>
      <c r="D8" t="e">
        <f>SEARCH("X5",$C$5,1)</f>
        <v>#VALUE!</v>
      </c>
      <c r="E8">
        <v>1</v>
      </c>
      <c r="F8" t="b">
        <f aca="true" t="shared" si="0" ref="F8:F13">IF(ISNUMBER(D8),D8)</f>
        <v>0</v>
      </c>
      <c r="G8">
        <f>IF(ISNUMBER(D8),MID($C$5,E8,F8-E8),0)</f>
        <v>0</v>
      </c>
      <c r="H8">
        <f aca="true" t="shared" si="1" ref="H8:H13">G8*POWER($K$16,I8)</f>
        <v>0</v>
      </c>
      <c r="I8">
        <v>5</v>
      </c>
    </row>
    <row r="9" spans="3:14" ht="13.5" customHeight="1">
      <c r="C9" t="s">
        <v>29</v>
      </c>
      <c r="D9" t="e">
        <f>SEARCH("X4",$C$5,1)</f>
        <v>#VALUE!</v>
      </c>
      <c r="E9">
        <f>IF(ISNUMBER(D8),D8+3,1)</f>
        <v>1</v>
      </c>
      <c r="F9" t="b">
        <f t="shared" si="0"/>
        <v>0</v>
      </c>
      <c r="G9">
        <f>IF(ISNUMBER(D9),MID($C$5,E9,F9-E9),0)</f>
        <v>0</v>
      </c>
      <c r="H9">
        <f t="shared" si="1"/>
        <v>0</v>
      </c>
      <c r="I9">
        <v>4</v>
      </c>
      <c r="L9">
        <v>1</v>
      </c>
      <c r="M9">
        <v>30</v>
      </c>
      <c r="N9">
        <v>150</v>
      </c>
    </row>
    <row r="10" spans="3:9" ht="13.5" customHeight="1">
      <c r="C10" t="s">
        <v>30</v>
      </c>
      <c r="D10">
        <f>SEARCH("X3",$C$5,1)</f>
        <v>8</v>
      </c>
      <c r="E10">
        <f>IF(ISNUMBER(D9),D9+3,1)</f>
        <v>1</v>
      </c>
      <c r="F10">
        <f t="shared" si="0"/>
        <v>8</v>
      </c>
      <c r="G10" t="str">
        <f>IF(ISNUMBER(D10),MID($C$5,E10,F10-E10),0)</f>
        <v> 1,1239</v>
      </c>
      <c r="H10">
        <f t="shared" si="1"/>
        <v>31.622131009901164</v>
      </c>
      <c r="I10">
        <v>3</v>
      </c>
    </row>
    <row r="11" spans="3:9" ht="13.5" customHeight="1">
      <c r="C11" t="s">
        <v>23</v>
      </c>
      <c r="D11">
        <f>SEARCH("X2",$C$5,1)</f>
        <v>18</v>
      </c>
      <c r="E11">
        <f>IF(ISNUMBER(D10),D10+3,1)</f>
        <v>11</v>
      </c>
      <c r="F11">
        <f t="shared" si="0"/>
        <v>18</v>
      </c>
      <c r="G11" t="str">
        <f>IF(ISNUMBER(D11),MID($C$5,E11,F11-E11),0)</f>
        <v>- 4,783</v>
      </c>
      <c r="H11">
        <f t="shared" si="1"/>
        <v>-44.24620452175001</v>
      </c>
      <c r="I11">
        <v>2</v>
      </c>
    </row>
    <row r="12" spans="3:9" ht="13.5" customHeight="1">
      <c r="C12" t="s">
        <v>1</v>
      </c>
      <c r="D12">
        <f>SEARCH("X",$C$5,IF(ISNUMBER(D11),D11+2,1))</f>
        <v>29</v>
      </c>
      <c r="E12">
        <f>IF(ISNUMBER(D11),D11+3,1)</f>
        <v>21</v>
      </c>
      <c r="F12">
        <f t="shared" si="0"/>
        <v>29</v>
      </c>
      <c r="G12" t="str">
        <f>IF(ISNUMBER(D12),MID($C$5,E12,F12-E12),0)</f>
        <v>+ 7,3609</v>
      </c>
      <c r="H12">
        <f t="shared" si="1"/>
        <v>22.38817735</v>
      </c>
      <c r="I12">
        <v>1</v>
      </c>
    </row>
    <row r="13" spans="3:9" ht="13.5" customHeight="1">
      <c r="C13" t="s">
        <v>2</v>
      </c>
      <c r="D13">
        <f>LEN(C5)</f>
        <v>38</v>
      </c>
      <c r="E13">
        <f>IF(ISNUMBER(D12),D12+3,1)</f>
        <v>32</v>
      </c>
      <c r="F13">
        <f t="shared" si="0"/>
        <v>38</v>
      </c>
      <c r="G13" t="str">
        <f>IF(ISNUMBER(D13),MID($C$5,E13-1,F13-E13+2),0)</f>
        <v>+ 0,4944</v>
      </c>
      <c r="H13">
        <f t="shared" si="1"/>
        <v>0.4944</v>
      </c>
      <c r="I13">
        <v>0</v>
      </c>
    </row>
    <row r="14" ht="13.5" customHeight="1">
      <c r="E14" s="4"/>
    </row>
    <row r="15" ht="13.5" customHeight="1">
      <c r="H15">
        <f>EXP(SUM(H8:H14))</f>
        <v>28524.077613994043</v>
      </c>
    </row>
    <row r="16" spans="7:17" ht="13.5" customHeight="1">
      <c r="G16" s="6"/>
      <c r="K16" s="15">
        <v>3.0415</v>
      </c>
      <c r="O16" t="e">
        <f>AVERAGE(#REF!)+0.2</f>
        <v>#REF!</v>
      </c>
      <c r="Q16">
        <f>COUNT('HBs,RUBELLA'!D20:D22)</f>
        <v>0</v>
      </c>
    </row>
    <row r="17" spans="3:22" ht="13.5" customHeight="1">
      <c r="C17" s="7">
        <f>ABS(MID(C3,5,LEN(C3)-4))</f>
        <v>1</v>
      </c>
      <c r="D17" s="8"/>
      <c r="E17">
        <v>0</v>
      </c>
      <c r="G17" s="6"/>
      <c r="V17" t="e">
        <f>#REF!</f>
        <v>#REF!</v>
      </c>
    </row>
    <row r="18" ht="13.5" customHeight="1" thickBot="1">
      <c r="G18" s="6"/>
    </row>
    <row r="19" spans="1:16" ht="13.5" customHeight="1" thickBot="1">
      <c r="A19" s="1" t="s">
        <v>0</v>
      </c>
      <c r="B19" t="str">
        <f>'HBs,RUBELLA'!C4</f>
        <v>Концентрация антител в калибраторе, МЕ/мл</v>
      </c>
      <c r="C19" t="str">
        <f>'HBs,RUBELLA'!D4</f>
        <v>О.П. калибратора, О.Е.</v>
      </c>
      <c r="D19" t="str">
        <f>Рабочий!A19</f>
        <v>Log</v>
      </c>
      <c r="N19" t="s">
        <v>121</v>
      </c>
      <c r="P19">
        <v>1</v>
      </c>
    </row>
    <row r="20" spans="1:19" ht="13.5" customHeight="1" thickBot="1">
      <c r="A20" s="3">
        <f>IF(ISNUMBER(C20),C20,80)</f>
        <v>80</v>
      </c>
      <c r="B20" t="e">
        <f>IF(ISNUMBER('HBs,RUBELLA'!D10),'HBs,RUBELLA'!D10,NA())</f>
        <v>#N/A</v>
      </c>
      <c r="C20" t="e">
        <f>IF(ISNUMBER('HBs,RUBELLA'!D5),'HBs,RUBELLA'!D5,NA())</f>
        <v>#N/A</v>
      </c>
      <c r="D20" s="4" t="e">
        <f>IF(ISNUMBER('HBs,RUBELLA'!C5),LN('HBs,RUBELLA'!C5),NA())</f>
        <v>#N/A</v>
      </c>
      <c r="E20" s="3">
        <f>IF(ISNUMBER(C20),C20,0)</f>
        <v>0</v>
      </c>
      <c r="G20" s="5">
        <f>ABS(E20/20)</f>
        <v>0</v>
      </c>
      <c r="H20">
        <f>IF(ISNUMBER(G20),1,0)</f>
        <v>1</v>
      </c>
      <c r="I20" t="e">
        <f aca="true" t="shared" si="2" ref="I20:I25">-32.284*D20*D20*D20+83.471*D20*D20-130.34*D20+71.863</f>
        <v>#N/A</v>
      </c>
      <c r="N20" t="s">
        <v>122</v>
      </c>
      <c r="P20">
        <f>IF(P19&lt;3,1,2)</f>
        <v>1</v>
      </c>
      <c r="Q20">
        <f>POWER(P20,2)</f>
        <v>1</v>
      </c>
      <c r="R20">
        <f>IF(P20=1,1920.1,2500.1)</f>
        <v>1920.1</v>
      </c>
      <c r="S20" t="str">
        <f>IF(P20=1,"&gt;1/1280","1/5120")</f>
        <v>&gt;1/1280</v>
      </c>
    </row>
    <row r="21" spans="1:14" ht="13.5" customHeight="1" thickBot="1">
      <c r="A21" s="3">
        <f aca="true" t="shared" si="3" ref="A21:A31">IF(ISNUMBER(C21),C21,80)</f>
        <v>80</v>
      </c>
      <c r="B21" t="e">
        <f>IF(ISNUMBER('HBs,RUBELLA'!D11),'HBs,RUBELLA'!D11,NA())</f>
        <v>#N/A</v>
      </c>
      <c r="C21" t="e">
        <f>IF(ISNUMBER('HBs,RUBELLA'!D6),'HBs,RUBELLA'!D6,NA())</f>
        <v>#N/A</v>
      </c>
      <c r="D21" s="4" t="e">
        <f>IF(ISNUMBER('HBs,RUBELLA'!C6),LN('HBs,RUBELLA'!C6),NA())</f>
        <v>#N/A</v>
      </c>
      <c r="E21" s="3">
        <f aca="true" t="shared" si="4" ref="E21:E31">IF(ISNUMBER(C21),C21,0)</f>
        <v>0</v>
      </c>
      <c r="G21" t="e">
        <f>ABS(E21-B21)/E21</f>
        <v>#N/A</v>
      </c>
      <c r="H21">
        <f aca="true" t="shared" si="5" ref="H21:H31">IF(ISNUMBER(G21),1,0)</f>
        <v>0</v>
      </c>
      <c r="I21" t="e">
        <f t="shared" si="2"/>
        <v>#N/A</v>
      </c>
      <c r="N21" t="s">
        <v>123</v>
      </c>
    </row>
    <row r="22" spans="1:14" ht="13.5" customHeight="1" thickBot="1">
      <c r="A22" s="3">
        <f t="shared" si="3"/>
        <v>80</v>
      </c>
      <c r="B22" t="e">
        <f>IF(ISNUMBER('HBs,RUBELLA'!D12),'HBs,RUBELLA'!D12,NA())</f>
        <v>#N/A</v>
      </c>
      <c r="C22" t="e">
        <f>IF(ISNUMBER('HBs,RUBELLA'!D7),'HBs,RUBELLA'!D7,NA())</f>
        <v>#N/A</v>
      </c>
      <c r="D22" s="4" t="e">
        <f>IF(ISNUMBER('HBs,RUBELLA'!C7),LN('HBs,RUBELLA'!C7),NA())</f>
        <v>#N/A</v>
      </c>
      <c r="E22" s="3">
        <f t="shared" si="4"/>
        <v>0</v>
      </c>
      <c r="G22" t="e">
        <f>ABS(E22-B22)/E22</f>
        <v>#N/A</v>
      </c>
      <c r="H22">
        <f t="shared" si="5"/>
        <v>0</v>
      </c>
      <c r="I22" t="e">
        <f t="shared" si="2"/>
        <v>#N/A</v>
      </c>
      <c r="N22" t="s">
        <v>124</v>
      </c>
    </row>
    <row r="23" spans="1:26" ht="13.5" customHeight="1" thickBot="1">
      <c r="A23" s="3">
        <f t="shared" si="3"/>
        <v>80</v>
      </c>
      <c r="B23" t="e">
        <f>IF(ISNUMBER('HBs,RUBELLA'!D13),'HBs,RUBELLA'!D13,NA())</f>
        <v>#N/A</v>
      </c>
      <c r="C23" t="e">
        <f>IF(ISNUMBER('HBs,RUBELLA'!D8),'HBs,RUBELLA'!D8,NA())</f>
        <v>#N/A</v>
      </c>
      <c r="D23" s="4" t="e">
        <f>IF(ISNUMBER('HBs,RUBELLA'!C8),LN('HBs,RUBELLA'!C8),NA())</f>
        <v>#N/A</v>
      </c>
      <c r="E23" s="3">
        <f t="shared" si="4"/>
        <v>0</v>
      </c>
      <c r="G23" t="e">
        <f>ABS(E23-B23)/E23</f>
        <v>#N/A</v>
      </c>
      <c r="H23">
        <f t="shared" si="5"/>
        <v>0</v>
      </c>
      <c r="I23" t="e">
        <f t="shared" si="2"/>
        <v>#N/A</v>
      </c>
      <c r="N23" s="2"/>
      <c r="O23" s="24">
        <v>1</v>
      </c>
      <c r="P23" s="24">
        <v>2</v>
      </c>
      <c r="Q23" s="24">
        <v>3</v>
      </c>
      <c r="R23" s="24">
        <v>4</v>
      </c>
      <c r="S23" s="24">
        <v>5</v>
      </c>
      <c r="T23" s="24">
        <v>6</v>
      </c>
      <c r="U23" s="24">
        <v>7</v>
      </c>
      <c r="V23" s="24">
        <v>8</v>
      </c>
      <c r="W23" s="24">
        <v>9</v>
      </c>
      <c r="X23" s="24">
        <v>10</v>
      </c>
      <c r="Y23" s="24">
        <v>11</v>
      </c>
      <c r="Z23" s="24">
        <v>12</v>
      </c>
    </row>
    <row r="24" spans="1:26" ht="13.5" customHeight="1" thickBot="1">
      <c r="A24" s="3">
        <f t="shared" si="3"/>
        <v>80</v>
      </c>
      <c r="B24" t="e">
        <f>IF(ISNUMBER('HBs,RUBELLA'!C9),'HBs,RUBELLA'!C9,NA())</f>
        <v>#N/A</v>
      </c>
      <c r="C24" t="e">
        <f>IF(ISNUMBER('HBs,RUBELLA'!D9),'HBs,RUBELLA'!D9,NA())</f>
        <v>#N/A</v>
      </c>
      <c r="D24" s="4" t="e">
        <f>IF(ISNUMBER('HBs,RUBELLA'!C9),LN('HBs,RUBELLA'!C9),NA())</f>
        <v>#N/A</v>
      </c>
      <c r="E24" s="3">
        <f t="shared" si="4"/>
        <v>0</v>
      </c>
      <c r="G24" t="e">
        <f>ABS(E24-B24)/E24</f>
        <v>#N/A</v>
      </c>
      <c r="H24">
        <f t="shared" si="5"/>
        <v>0</v>
      </c>
      <c r="I24" t="e">
        <f t="shared" si="2"/>
        <v>#N/A</v>
      </c>
      <c r="N24" s="23" t="s">
        <v>8</v>
      </c>
      <c r="O24" s="2" t="str">
        <f>IF(ISNUMBER(#REF!),((((#REF!/$O$16)*(#REF!/$O$16)*#REF!+#REF!*(#REF!/$O$16)+#REF!)))," ")</f>
        <v> </v>
      </c>
      <c r="P24" s="2" t="str">
        <f>IF(ISNUMBER(#REF!),((((#REF!/$O$16)*(#REF!/$O$16)*#REF!+#REF!*(#REF!/$O$16)+#REF!)))," ")</f>
        <v> </v>
      </c>
      <c r="Q24" s="2" t="str">
        <f>IF(ISNUMBER(#REF!),((((#REF!/$O$16)*(#REF!/$O$16)*#REF!+#REF!*(#REF!/$O$16)+#REF!)))," ")</f>
        <v> </v>
      </c>
      <c r="R24" s="2" t="str">
        <f>IF(ISNUMBER(#REF!),((((#REF!/$O$16)*(#REF!/$O$16)*#REF!+#REF!*(#REF!/$O$16)+#REF!)))," ")</f>
        <v> </v>
      </c>
      <c r="S24" s="2" t="str">
        <f>IF(ISNUMBER(#REF!),((((#REF!/$O$16)*(#REF!/$O$16)*#REF!+#REF!*(#REF!/$O$16)+#REF!)))," ")</f>
        <v> </v>
      </c>
      <c r="T24" s="2" t="str">
        <f>IF(ISNUMBER(#REF!),((((#REF!/$O$16)*(#REF!/$O$16)*#REF!+#REF!*(#REF!/$O$16)+#REF!)))," ")</f>
        <v> </v>
      </c>
      <c r="U24" s="2" t="str">
        <f>IF(ISNUMBER(#REF!),((((#REF!/$O$16)*(#REF!/$O$16)*#REF!+#REF!*(#REF!/$O$16)+#REF!)))," ")</f>
        <v> </v>
      </c>
      <c r="V24" s="2" t="str">
        <f>IF(ISNUMBER(#REF!),((((#REF!/$O$16)*(#REF!/$O$16)*#REF!+#REF!*(#REF!/$O$16)+#REF!)))," ")</f>
        <v> </v>
      </c>
      <c r="W24" s="2" t="str">
        <f>IF(ISNUMBER(#REF!),((((#REF!/$O$16)*(#REF!/$O$16)*#REF!+#REF!*(#REF!/$O$16)+#REF!)))," ")</f>
        <v> </v>
      </c>
      <c r="X24" s="2" t="str">
        <f>IF(ISNUMBER(#REF!),((((#REF!/$O$16)*(#REF!/$O$16)*#REF!+#REF!*(#REF!/$O$16)+#REF!)))," ")</f>
        <v> </v>
      </c>
      <c r="Y24" s="2" t="str">
        <f>IF(ISNUMBER(#REF!),((((#REF!/$O$16)*(#REF!/$O$16)*#REF!+#REF!*(#REF!/$O$16)+#REF!)))," ")</f>
        <v> </v>
      </c>
      <c r="Z24" s="2" t="str">
        <f>IF(ISNUMBER(#REF!),((((#REF!/$O$16)*(#REF!/$O$16)*#REF!+#REF!*(#REF!/$O$16)+#REF!)))," ")</f>
        <v> </v>
      </c>
    </row>
    <row r="25" spans="1:26" ht="13.5" customHeight="1" thickBot="1">
      <c r="A25" s="3">
        <f t="shared" si="3"/>
        <v>80</v>
      </c>
      <c r="B25" t="e">
        <f>IF(ISNUMBER('HBs,RUBELLA'!C10),'HBs,RUBELLA'!C10,NA())</f>
        <v>#N/A</v>
      </c>
      <c r="C25" t="e">
        <f>IF(ISNUMBER('HBs,RUBELLA'!D10),'HBs,RUBELLA'!D10,NA())</f>
        <v>#N/A</v>
      </c>
      <c r="D25" s="4" t="e">
        <f>IF(ISNUMBER('HBs,RUBELLA'!C10),LN('HBs,RUBELLA'!C10),NA())</f>
        <v>#N/A</v>
      </c>
      <c r="E25" s="3">
        <f t="shared" si="4"/>
        <v>0</v>
      </c>
      <c r="G25" t="e">
        <f>ABS(E25-B25)/E25</f>
        <v>#N/A</v>
      </c>
      <c r="H25">
        <f t="shared" si="5"/>
        <v>0</v>
      </c>
      <c r="I25" t="e">
        <f t="shared" si="2"/>
        <v>#N/A</v>
      </c>
      <c r="N25" s="23" t="s">
        <v>9</v>
      </c>
      <c r="O25" s="2" t="str">
        <f>IF(ISNUMBER(#REF!),((((#REF!/$O$16)*(#REF!/$O$16)*#REF!+#REF!*(#REF!/$O$16)+#REF!)))," ")</f>
        <v> </v>
      </c>
      <c r="P25" s="2" t="str">
        <f>IF(ISNUMBER(#REF!),((((#REF!/$O$16)*(#REF!/$O$16)*#REF!+#REF!*(#REF!/$O$16)+#REF!)))," ")</f>
        <v> </v>
      </c>
      <c r="Q25" s="2" t="str">
        <f>IF(ISNUMBER(#REF!),((((#REF!/$O$16)*(#REF!/$O$16)*#REF!+#REF!*(#REF!/$O$16)+#REF!)))," ")</f>
        <v> </v>
      </c>
      <c r="R25" s="2" t="str">
        <f>IF(ISNUMBER(#REF!),((((#REF!/$O$16)*(#REF!/$O$16)*#REF!+#REF!*(#REF!/$O$16)+#REF!)))," ")</f>
        <v> </v>
      </c>
      <c r="S25" s="2" t="str">
        <f>IF(ISNUMBER(#REF!),((((#REF!/$O$16)*(#REF!/$O$16)*#REF!+#REF!*(#REF!/$O$16)+#REF!)))," ")</f>
        <v> </v>
      </c>
      <c r="T25" s="2" t="str">
        <f>IF(ISNUMBER(#REF!),((((#REF!/$O$16)*(#REF!/$O$16)*#REF!+#REF!*(#REF!/$O$16)+#REF!)))," ")</f>
        <v> </v>
      </c>
      <c r="U25" s="2" t="str">
        <f>IF(ISNUMBER(#REF!),((((#REF!/$O$16)*(#REF!/$O$16)*#REF!+#REF!*(#REF!/$O$16)+#REF!)))," ")</f>
        <v> </v>
      </c>
      <c r="V25" s="2" t="str">
        <f>IF(ISNUMBER(#REF!),((((#REF!/$O$16)*(#REF!/$O$16)*#REF!+#REF!*(#REF!/$O$16)+#REF!)))," ")</f>
        <v> </v>
      </c>
      <c r="W25" s="2" t="str">
        <f>IF(ISNUMBER(#REF!),((((#REF!/$O$16)*(#REF!/$O$16)*#REF!+#REF!*(#REF!/$O$16)+#REF!)))," ")</f>
        <v> </v>
      </c>
      <c r="X25" s="2" t="str">
        <f>IF(ISNUMBER(#REF!),((((#REF!/$O$16)*(#REF!/$O$16)*#REF!+#REF!*(#REF!/$O$16)+#REF!)))," ")</f>
        <v> </v>
      </c>
      <c r="Y25" s="2" t="str">
        <f>IF(ISNUMBER(#REF!),((((#REF!/$O$16)*(#REF!/$O$16)*#REF!+#REF!*(#REF!/$O$16)+#REF!)))," ")</f>
        <v> </v>
      </c>
      <c r="Z25" s="2" t="str">
        <f>IF(ISNUMBER(#REF!),((((#REF!/$O$16)*(#REF!/$O$16)*#REF!+#REF!*(#REF!/$O$16)+#REF!)))," ")</f>
        <v> </v>
      </c>
    </row>
    <row r="26" spans="1:26" ht="13.5" customHeight="1" thickBot="1">
      <c r="A26" s="3">
        <f t="shared" si="3"/>
        <v>80</v>
      </c>
      <c r="B26" t="e">
        <f>IF(ISNUMBER('HBs,RUBELLA'!C11),'HBs,RUBELLA'!C11,NA())</f>
        <v>#N/A</v>
      </c>
      <c r="C26" t="e">
        <f>IF(ISNUMBER('HBs,RUBELLA'!D11),'HBs,RUBELLA'!D11,NA())</f>
        <v>#N/A</v>
      </c>
      <c r="D26" s="4" t="e">
        <f>IF(ISNUMBER('HBs,RUBELLA'!C11),LN('HBs,RUBELLA'!C11),NA())</f>
        <v>#N/A</v>
      </c>
      <c r="E26" s="3">
        <f t="shared" si="4"/>
        <v>0</v>
      </c>
      <c r="G26" t="e">
        <f aca="true" t="shared" si="6" ref="G26:G31">(E26-B26)/E26</f>
        <v>#N/A</v>
      </c>
      <c r="H26">
        <f t="shared" si="5"/>
        <v>0</v>
      </c>
      <c r="N26" s="23" t="s">
        <v>10</v>
      </c>
      <c r="O26" s="2" t="str">
        <f>IF(ISNUMBER(#REF!),((((#REF!/$O$16)*(#REF!/$O$16)*#REF!+#REF!*(#REF!/$O$16)+#REF!)))," ")</f>
        <v> </v>
      </c>
      <c r="P26" s="2" t="str">
        <f>IF(ISNUMBER(#REF!),((((#REF!/$O$16)*(#REF!/$O$16)*#REF!+#REF!*(#REF!/$O$16)+#REF!)))," ")</f>
        <v> </v>
      </c>
      <c r="Q26" s="2" t="str">
        <f>IF(ISNUMBER(#REF!),((((#REF!/$O$16)*(#REF!/$O$16)*#REF!+#REF!*(#REF!/$O$16)+#REF!)))," ")</f>
        <v> </v>
      </c>
      <c r="R26" s="2" t="str">
        <f>IF(ISNUMBER(#REF!),((((#REF!/$O$16)*(#REF!/$O$16)*#REF!+#REF!*(#REF!/$O$16)+#REF!)))," ")</f>
        <v> </v>
      </c>
      <c r="S26" s="2" t="str">
        <f>IF(ISNUMBER(#REF!),((((#REF!/$O$16)*(#REF!/$O$16)*#REF!+#REF!*(#REF!/$O$16)+#REF!)))," ")</f>
        <v> </v>
      </c>
      <c r="T26" s="2" t="str">
        <f>IF(ISNUMBER(#REF!),((((#REF!/$O$16)*(#REF!/$O$16)*#REF!+#REF!*(#REF!/$O$16)+#REF!)))," ")</f>
        <v> </v>
      </c>
      <c r="U26" s="2" t="str">
        <f>IF(ISNUMBER(#REF!),((((#REF!/$O$16)*(#REF!/$O$16)*#REF!+#REF!*(#REF!/$O$16)+#REF!)))," ")</f>
        <v> </v>
      </c>
      <c r="V26" s="2" t="str">
        <f>IF(ISNUMBER(#REF!),((((#REF!/$O$16)*(#REF!/$O$16)*#REF!+#REF!*(#REF!/$O$16)+#REF!)))," ")</f>
        <v> </v>
      </c>
      <c r="W26" s="2" t="str">
        <f>IF(ISNUMBER(#REF!),((((#REF!/$O$16)*(#REF!/$O$16)*#REF!+#REF!*(#REF!/$O$16)+#REF!)))," ")</f>
        <v> </v>
      </c>
      <c r="X26" s="2" t="str">
        <f>IF(ISNUMBER(#REF!),((((#REF!/$O$16)*(#REF!/$O$16)*#REF!+#REF!*(#REF!/$O$16)+#REF!)))," ")</f>
        <v> </v>
      </c>
      <c r="Y26" s="2" t="str">
        <f>IF(ISNUMBER(#REF!),((((#REF!/$O$16)*(#REF!/$O$16)*#REF!+#REF!*(#REF!/$O$16)+#REF!)))," ")</f>
        <v> </v>
      </c>
      <c r="Z26" s="2" t="str">
        <f>IF(ISNUMBER(#REF!),((((#REF!/$O$16)*(#REF!/$O$16)*#REF!+#REF!*(#REF!/$O$16)+#REF!)))," ")</f>
        <v> </v>
      </c>
    </row>
    <row r="27" spans="1:26" ht="13.5" customHeight="1" thickBot="1">
      <c r="A27" s="3">
        <f t="shared" si="3"/>
        <v>80</v>
      </c>
      <c r="B27" t="e">
        <f>IF(ISNUMBER('HBs,RUBELLA'!C12),'HBs,RUBELLA'!C12,NA())</f>
        <v>#N/A</v>
      </c>
      <c r="C27" t="e">
        <f>IF(ISNUMBER('HBs,RUBELLA'!D12),'HBs,RUBELLA'!D12,NA())</f>
        <v>#N/A</v>
      </c>
      <c r="D27" s="4" t="e">
        <f>IF(ISNUMBER('HBs,RUBELLA'!C12),LN('HBs,RUBELLA'!C12),NA())</f>
        <v>#N/A</v>
      </c>
      <c r="E27" s="3">
        <f t="shared" si="4"/>
        <v>0</v>
      </c>
      <c r="G27" t="e">
        <f t="shared" si="6"/>
        <v>#N/A</v>
      </c>
      <c r="H27">
        <f t="shared" si="5"/>
        <v>0</v>
      </c>
      <c r="N27" s="23" t="s">
        <v>11</v>
      </c>
      <c r="O27" s="2" t="str">
        <f>IF(ISNUMBER(#REF!),((((#REF!/$O$16)*(#REF!/$O$16)*#REF!+#REF!*(#REF!/$O$16)+#REF!)))," ")</f>
        <v> </v>
      </c>
      <c r="P27" s="2" t="str">
        <f>IF(ISNUMBER(#REF!),((((#REF!/$O$16)*(#REF!/$O$16)*#REF!+#REF!*(#REF!/$O$16)+#REF!)))," ")</f>
        <v> </v>
      </c>
      <c r="Q27" s="2" t="str">
        <f>IF(ISNUMBER(#REF!),((((#REF!/$O$16)*(#REF!/$O$16)*#REF!+#REF!*(#REF!/$O$16)+#REF!)))," ")</f>
        <v> </v>
      </c>
      <c r="R27" s="2" t="str">
        <f>IF(ISNUMBER(#REF!),((((#REF!/$O$16)*(#REF!/$O$16)*#REF!+#REF!*(#REF!/$O$16)+#REF!)))," ")</f>
        <v> </v>
      </c>
      <c r="S27" s="2" t="str">
        <f>IF(ISNUMBER(#REF!),((((#REF!/$O$16)*(#REF!/$O$16)*#REF!+#REF!*(#REF!/$O$16)+#REF!)))," ")</f>
        <v> </v>
      </c>
      <c r="T27" s="2" t="str">
        <f>IF(ISNUMBER(#REF!),((((#REF!/$O$16)*(#REF!/$O$16)*#REF!+#REF!*(#REF!/$O$16)+#REF!)))," ")</f>
        <v> </v>
      </c>
      <c r="U27" s="2" t="str">
        <f>IF(ISNUMBER(#REF!),((((#REF!/$O$16)*(#REF!/$O$16)*#REF!+#REF!*(#REF!/$O$16)+#REF!)))," ")</f>
        <v> </v>
      </c>
      <c r="V27" s="2" t="str">
        <f>IF(ISNUMBER(#REF!),((((#REF!/$O$16)*(#REF!/$O$16)*#REF!+#REF!*(#REF!/$O$16)+#REF!)))," ")</f>
        <v> </v>
      </c>
      <c r="W27" s="2" t="str">
        <f>IF(ISNUMBER(#REF!),((((#REF!/$O$16)*(#REF!/$O$16)*#REF!+#REF!*(#REF!/$O$16)+#REF!)))," ")</f>
        <v> </v>
      </c>
      <c r="X27" s="2" t="str">
        <f>IF(ISNUMBER(#REF!),((((#REF!/$O$16)*(#REF!/$O$16)*#REF!+#REF!*(#REF!/$O$16)+#REF!)))," ")</f>
        <v> </v>
      </c>
      <c r="Y27" s="2" t="str">
        <f>IF(ISNUMBER(#REF!),((((#REF!/$O$16)*(#REF!/$O$16)*#REF!+#REF!*(#REF!/$O$16)+#REF!)))," ")</f>
        <v> </v>
      </c>
      <c r="Z27" s="2" t="str">
        <f>IF(ISNUMBER(#REF!),((((#REF!/$O$16)*(#REF!/$O$16)*#REF!+#REF!*(#REF!/$O$16)+#REF!)))," ")</f>
        <v> </v>
      </c>
    </row>
    <row r="28" spans="1:26" ht="13.5" customHeight="1" thickBot="1">
      <c r="A28" s="3">
        <f t="shared" si="3"/>
        <v>80</v>
      </c>
      <c r="B28" t="e">
        <f>IF(ISNUMBER('HBs,RUBELLA'!C13),'HBs,RUBELLA'!C13,NA())</f>
        <v>#N/A</v>
      </c>
      <c r="C28" t="e">
        <f>IF(ISNUMBER('HBs,RUBELLA'!D13),'HBs,RUBELLA'!D13,NA())</f>
        <v>#N/A</v>
      </c>
      <c r="D28" s="4" t="e">
        <f>IF(ISNUMBER('HBs,RUBELLA'!C13),LN('HBs,RUBELLA'!C13),NA())</f>
        <v>#N/A</v>
      </c>
      <c r="E28" s="3">
        <f t="shared" si="4"/>
        <v>0</v>
      </c>
      <c r="G28" t="e">
        <f t="shared" si="6"/>
        <v>#N/A</v>
      </c>
      <c r="H28">
        <f t="shared" si="5"/>
        <v>0</v>
      </c>
      <c r="N28" s="23" t="s">
        <v>12</v>
      </c>
      <c r="O28" s="2" t="str">
        <f>IF(ISNUMBER(#REF!),((((#REF!/$O$16)*(#REF!/$O$16)*#REF!+#REF!*(#REF!/$O$16)+#REF!)))," ")</f>
        <v> </v>
      </c>
      <c r="P28" s="2" t="str">
        <f>IF(ISNUMBER(#REF!),((((#REF!/$O$16)*(#REF!/$O$16)*#REF!+#REF!*(#REF!/$O$16)+#REF!)))," ")</f>
        <v> </v>
      </c>
      <c r="Q28" s="2" t="str">
        <f>IF(ISNUMBER(#REF!),((((#REF!/$O$16)*(#REF!/$O$16)*#REF!+#REF!*(#REF!/$O$16)+#REF!)))," ")</f>
        <v> </v>
      </c>
      <c r="R28" s="2" t="str">
        <f>IF(ISNUMBER(#REF!),((((#REF!/$O$16)*(#REF!/$O$16)*#REF!+#REF!*(#REF!/$O$16)+#REF!)))," ")</f>
        <v> </v>
      </c>
      <c r="S28" s="2" t="str">
        <f>IF(ISNUMBER(#REF!),((((#REF!/$O$16)*(#REF!/$O$16)*#REF!+#REF!*(#REF!/$O$16)+#REF!)))," ")</f>
        <v> </v>
      </c>
      <c r="T28" s="2" t="str">
        <f>IF(ISNUMBER(#REF!),((((#REF!/$O$16)*(#REF!/$O$16)*#REF!+#REF!*(#REF!/$O$16)+#REF!)))," ")</f>
        <v> </v>
      </c>
      <c r="U28" s="2" t="str">
        <f>IF(ISNUMBER(#REF!),((((#REF!/$O$16)*(#REF!/$O$16)*#REF!+#REF!*(#REF!/$O$16)+#REF!)))," ")</f>
        <v> </v>
      </c>
      <c r="V28" s="2" t="str">
        <f>IF(ISNUMBER(#REF!),((((#REF!/$O$16)*(#REF!/$O$16)*#REF!+#REF!*(#REF!/$O$16)+#REF!)))," ")</f>
        <v> </v>
      </c>
      <c r="W28" s="2" t="str">
        <f>IF(ISNUMBER(#REF!),((((#REF!/$O$16)*(#REF!/$O$16)*#REF!+#REF!*(#REF!/$O$16)+#REF!)))," ")</f>
        <v> </v>
      </c>
      <c r="X28" s="2" t="str">
        <f>IF(ISNUMBER(#REF!),((((#REF!/$O$16)*(#REF!/$O$16)*#REF!+#REF!*(#REF!/$O$16)+#REF!)))," ")</f>
        <v> </v>
      </c>
      <c r="Y28" s="2" t="str">
        <f>IF(ISNUMBER(#REF!),((((#REF!/$O$16)*(#REF!/$O$16)*#REF!+#REF!*(#REF!/$O$16)+#REF!)))," ")</f>
        <v> </v>
      </c>
      <c r="Z28" s="2" t="str">
        <f>IF(ISNUMBER(#REF!),((((#REF!/$O$16)*(#REF!/$O$16)*#REF!+#REF!*(#REF!/$O$16)+#REF!)))," ")</f>
        <v> </v>
      </c>
    </row>
    <row r="29" spans="1:26" ht="13.5" customHeight="1" thickBot="1">
      <c r="A29" s="3">
        <f t="shared" si="3"/>
        <v>80</v>
      </c>
      <c r="B29" t="e">
        <f>IF(ISNUMBER('HBs,RUBELLA'!C14),'HBs,RUBELLA'!C14,NA())</f>
        <v>#N/A</v>
      </c>
      <c r="C29" t="e">
        <f>IF(ISNUMBER('HBs,RUBELLA'!D14),'HBs,RUBELLA'!D14,NA())</f>
        <v>#N/A</v>
      </c>
      <c r="D29" s="4" t="e">
        <f>IF(ISNUMBER('HBs,RUBELLA'!C14),LN('HBs,RUBELLA'!C14),NA())</f>
        <v>#N/A</v>
      </c>
      <c r="E29" s="3">
        <f t="shared" si="4"/>
        <v>0</v>
      </c>
      <c r="G29" t="e">
        <f t="shared" si="6"/>
        <v>#N/A</v>
      </c>
      <c r="H29">
        <f t="shared" si="5"/>
        <v>0</v>
      </c>
      <c r="N29" s="23" t="s">
        <v>13</v>
      </c>
      <c r="O29" s="2" t="str">
        <f>IF(ISNUMBER(#REF!),((((#REF!/$O$16)*(#REF!/$O$16)*#REF!+#REF!*(#REF!/$O$16)+#REF!)))," ")</f>
        <v> </v>
      </c>
      <c r="P29" s="2" t="str">
        <f>IF(ISNUMBER(#REF!),((((#REF!/$O$16)*(#REF!/$O$16)*#REF!+#REF!*(#REF!/$O$16)+#REF!)))," ")</f>
        <v> </v>
      </c>
      <c r="Q29" s="2" t="str">
        <f>IF(ISNUMBER(#REF!),((((#REF!/$O$16)*(#REF!/$O$16)*#REF!+#REF!*(#REF!/$O$16)+#REF!)))," ")</f>
        <v> </v>
      </c>
      <c r="R29" s="2" t="str">
        <f>IF(ISNUMBER(#REF!),((((#REF!/$O$16)*(#REF!/$O$16)*#REF!+#REF!*(#REF!/$O$16)+#REF!)))," ")</f>
        <v> </v>
      </c>
      <c r="S29" s="2" t="str">
        <f>IF(ISNUMBER(#REF!),((((#REF!/$O$16)*(#REF!/$O$16)*#REF!+#REF!*(#REF!/$O$16)+#REF!)))," ")</f>
        <v> </v>
      </c>
      <c r="T29" s="2" t="str">
        <f>IF(ISNUMBER(#REF!),((((#REF!/$O$16)*(#REF!/$O$16)*#REF!+#REF!*(#REF!/$O$16)+#REF!)))," ")</f>
        <v> </v>
      </c>
      <c r="U29" s="2" t="str">
        <f>IF(ISNUMBER(#REF!),((((#REF!/$O$16)*(#REF!/$O$16)*#REF!+#REF!*(#REF!/$O$16)+#REF!)))," ")</f>
        <v> </v>
      </c>
      <c r="V29" s="2" t="str">
        <f>IF(ISNUMBER(#REF!),((((#REF!/$O$16)*(#REF!/$O$16)*#REF!+#REF!*(#REF!/$O$16)+#REF!)))," ")</f>
        <v> </v>
      </c>
      <c r="W29" s="2" t="str">
        <f>IF(ISNUMBER(#REF!),((((#REF!/$O$16)*(#REF!/$O$16)*#REF!+#REF!*(#REF!/$O$16)+#REF!)))," ")</f>
        <v> </v>
      </c>
      <c r="X29" s="2" t="str">
        <f>IF(ISNUMBER(#REF!),((((#REF!/$O$16)*(#REF!/$O$16)*#REF!+#REF!*(#REF!/$O$16)+#REF!)))," ")</f>
        <v> </v>
      </c>
      <c r="Y29" s="2" t="str">
        <f>IF(ISNUMBER(#REF!),((((#REF!/$O$16)*(#REF!/$O$16)*#REF!+#REF!*(#REF!/$O$16)+#REF!)))," ")</f>
        <v> </v>
      </c>
      <c r="Z29" s="2" t="str">
        <f>IF(ISNUMBER(#REF!),((((#REF!/$O$16)*(#REF!/$O$16)*#REF!+#REF!*(#REF!/$O$16)+#REF!)))," ")</f>
        <v> </v>
      </c>
    </row>
    <row r="30" spans="1:26" ht="13.5" customHeight="1" thickBot="1">
      <c r="A30" s="3">
        <f t="shared" si="3"/>
        <v>80</v>
      </c>
      <c r="B30" t="e">
        <f>IF(ISNUMBER('HBs,RUBELLA'!C15),'HBs,RUBELLA'!C15,NA())</f>
        <v>#N/A</v>
      </c>
      <c r="C30" t="e">
        <f>IF(ISNUMBER('HBs,RUBELLA'!D15),'HBs,RUBELLA'!D15,NA())</f>
        <v>#N/A</v>
      </c>
      <c r="D30" s="4" t="e">
        <f>IF(ISNUMBER('HBs,RUBELLA'!C15),LN('HBs,RUBELLA'!C15),NA())</f>
        <v>#N/A</v>
      </c>
      <c r="E30" s="3">
        <f t="shared" si="4"/>
        <v>0</v>
      </c>
      <c r="G30" t="e">
        <f t="shared" si="6"/>
        <v>#N/A</v>
      </c>
      <c r="H30">
        <f t="shared" si="5"/>
        <v>0</v>
      </c>
      <c r="N30" s="23" t="s">
        <v>14</v>
      </c>
      <c r="O30" s="2" t="str">
        <f>IF(ISNUMBER(#REF!),((((#REF!/$O$16)*(#REF!/$O$16)*#REF!+#REF!*(#REF!/$O$16)+#REF!)))," ")</f>
        <v> </v>
      </c>
      <c r="P30" s="2" t="str">
        <f>IF(ISNUMBER(#REF!),((((#REF!/$O$16)*(#REF!/$O$16)*#REF!+#REF!*(#REF!/$O$16)+#REF!)))," ")</f>
        <v> </v>
      </c>
      <c r="Q30" s="2" t="str">
        <f>IF(ISNUMBER(#REF!),((((#REF!/$O$16)*(#REF!/$O$16)*#REF!+#REF!*(#REF!/$O$16)+#REF!)))," ")</f>
        <v> </v>
      </c>
      <c r="R30" s="2" t="str">
        <f>IF(ISNUMBER(#REF!),((((#REF!/$O$16)*(#REF!/$O$16)*#REF!+#REF!*(#REF!/$O$16)+#REF!)))," ")</f>
        <v> </v>
      </c>
      <c r="S30" s="2" t="str">
        <f>IF(ISNUMBER(#REF!),((((#REF!/$O$16)*(#REF!/$O$16)*#REF!+#REF!*(#REF!/$O$16)+#REF!)))," ")</f>
        <v> </v>
      </c>
      <c r="T30" s="2" t="str">
        <f>IF(ISNUMBER(#REF!),((((#REF!/$O$16)*(#REF!/$O$16)*#REF!+#REF!*(#REF!/$O$16)+#REF!)))," ")</f>
        <v> </v>
      </c>
      <c r="U30" s="2" t="str">
        <f>IF(ISNUMBER(#REF!),((((#REF!/$O$16)*(#REF!/$O$16)*#REF!+#REF!*(#REF!/$O$16)+#REF!)))," ")</f>
        <v> </v>
      </c>
      <c r="V30" s="2" t="str">
        <f>IF(ISNUMBER(#REF!),((((#REF!/$O$16)*(#REF!/$O$16)*#REF!+#REF!*(#REF!/$O$16)+#REF!)))," ")</f>
        <v> </v>
      </c>
      <c r="W30" s="2" t="str">
        <f>IF(ISNUMBER(#REF!),((((#REF!/$O$16)*(#REF!/$O$16)*#REF!+#REF!*(#REF!/$O$16)+#REF!)))," ")</f>
        <v> </v>
      </c>
      <c r="X30" s="2" t="str">
        <f>IF(ISNUMBER(#REF!),((((#REF!/$O$16)*(#REF!/$O$16)*#REF!+#REF!*(#REF!/$O$16)+#REF!)))," ")</f>
        <v> </v>
      </c>
      <c r="Y30" s="2" t="str">
        <f>IF(ISNUMBER(#REF!),((((#REF!/$O$16)*(#REF!/$O$16)*#REF!+#REF!*(#REF!/$O$16)+#REF!)))," ")</f>
        <v> </v>
      </c>
      <c r="Z30" s="2" t="str">
        <f>IF(ISNUMBER(#REF!),((((#REF!/$O$16)*(#REF!/$O$16)*#REF!+#REF!*(#REF!/$O$16)+#REF!)))," ")</f>
        <v> </v>
      </c>
    </row>
    <row r="31" spans="1:26" ht="13.5" customHeight="1" thickBot="1">
      <c r="A31" s="3">
        <f t="shared" si="3"/>
        <v>80</v>
      </c>
      <c r="B31" t="e">
        <f>IF(ISNUMBER('HBs,RUBELLA'!C16),'HBs,RUBELLA'!C16,NA())</f>
        <v>#N/A</v>
      </c>
      <c r="C31" t="e">
        <f>IF(ISNUMBER('HBs,RUBELLA'!D16),'HBs,RUBELLA'!D16,NA())</f>
        <v>#N/A</v>
      </c>
      <c r="D31" s="4" t="e">
        <f>IF(ISNUMBER('HBs,RUBELLA'!C16),LN('HBs,RUBELLA'!C16),NA())</f>
        <v>#N/A</v>
      </c>
      <c r="E31" s="3">
        <f t="shared" si="4"/>
        <v>0</v>
      </c>
      <c r="G31" t="e">
        <f t="shared" si="6"/>
        <v>#N/A</v>
      </c>
      <c r="H31">
        <f t="shared" si="5"/>
        <v>0</v>
      </c>
      <c r="K31">
        <f>Рабочий!$G$8*I7*I7*I7*I7*I7+Рабочий!$G$9*I7*I7*I7*I7+Рабочий!$G$10*I7*I7*I7+Рабочий!$G$11*I7*I7+Рабочий!$G$12*I7+Рабочий!$G$13</f>
        <v>58.21139999999996</v>
      </c>
      <c r="N31" s="23" t="s">
        <v>15</v>
      </c>
      <c r="O31" s="2" t="str">
        <f>IF(ISNUMBER(#REF!),((((#REF!/$O$16)*(#REF!/$O$16)*#REF!+#REF!*(#REF!/$O$16)+#REF!)))," ")</f>
        <v> </v>
      </c>
      <c r="P31" s="2" t="str">
        <f>IF(ISNUMBER(#REF!),((((#REF!/$O$16)*(#REF!/$O$16)*#REF!+#REF!*(#REF!/$O$16)+#REF!)))," ")</f>
        <v> </v>
      </c>
      <c r="Q31" s="2" t="str">
        <f>IF(ISNUMBER(#REF!),((((#REF!/$O$16)*(#REF!/$O$16)*#REF!+#REF!*(#REF!/$O$16)+#REF!)))," ")</f>
        <v> </v>
      </c>
      <c r="R31" s="2" t="str">
        <f>IF(ISNUMBER(#REF!),((((#REF!/$O$16)*(#REF!/$O$16)*#REF!+#REF!*(#REF!/$O$16)+#REF!)))," ")</f>
        <v> </v>
      </c>
      <c r="S31" s="2" t="str">
        <f>IF(ISNUMBER(#REF!),((((#REF!/$O$16)*(#REF!/$O$16)*#REF!+#REF!*(#REF!/$O$16)+#REF!)))," ")</f>
        <v> </v>
      </c>
      <c r="T31" s="2" t="str">
        <f>IF(ISNUMBER(#REF!),((((#REF!/$O$16)*(#REF!/$O$16)*#REF!+#REF!*(#REF!/$O$16)+#REF!)))," ")</f>
        <v> </v>
      </c>
      <c r="U31" s="2" t="str">
        <f>IF(ISNUMBER(#REF!),((((#REF!/$O$16)*(#REF!/$O$16)*#REF!+#REF!*(#REF!/$O$16)+#REF!)))," ")</f>
        <v> </v>
      </c>
      <c r="V31" s="2" t="str">
        <f>IF(ISNUMBER(#REF!),((((#REF!/$O$16)*(#REF!/$O$16)*#REF!+#REF!*(#REF!/$O$16)+#REF!)))," ")</f>
        <v> </v>
      </c>
      <c r="W31" s="2" t="str">
        <f>IF(ISNUMBER(#REF!),((((#REF!/$O$16)*(#REF!/$O$16)*#REF!+#REF!*(#REF!/$O$16)+#REF!)))," ")</f>
        <v> </v>
      </c>
      <c r="X31" s="2" t="str">
        <f>IF(ISNUMBER(#REF!),((((#REF!/$O$16)*(#REF!/$O$16)*#REF!+#REF!*(#REF!/$O$16)+#REF!)))," ")</f>
        <v> </v>
      </c>
      <c r="Y31" s="2" t="str">
        <f>IF(ISNUMBER(#REF!),((((#REF!/$O$16)*(#REF!/$O$16)*#REF!+#REF!*(#REF!/$O$16)+#REF!)))," ")</f>
        <v> </v>
      </c>
      <c r="Z31" s="2" t="str">
        <f>IF(ISNUMBER(#REF!),((((#REF!/$O$16)*(#REF!/$O$16)*#REF!+#REF!*(#REF!/$O$16)+#REF!)))," ")</f>
        <v> </v>
      </c>
    </row>
    <row r="32" ht="13.5" customHeight="1"/>
    <row r="33" spans="1:9" ht="13.5" customHeight="1">
      <c r="A33">
        <v>1</v>
      </c>
      <c r="B33">
        <v>2</v>
      </c>
      <c r="C33">
        <v>3</v>
      </c>
      <c r="D33">
        <v>4</v>
      </c>
      <c r="E33">
        <v>5</v>
      </c>
      <c r="F33">
        <v>6</v>
      </c>
      <c r="G33">
        <v>7</v>
      </c>
      <c r="H33">
        <v>8</v>
      </c>
      <c r="I33">
        <v>9</v>
      </c>
    </row>
    <row r="34" spans="1:15" ht="13.5" customHeight="1">
      <c r="A34">
        <f>MIN(A20:A31)</f>
        <v>80</v>
      </c>
      <c r="E34">
        <f>MAX(E20:E31)</f>
        <v>0</v>
      </c>
      <c r="O34" t="s">
        <v>33</v>
      </c>
    </row>
    <row r="35" ht="13.5" customHeight="1">
      <c r="O35" t="s">
        <v>32</v>
      </c>
    </row>
    <row r="36" ht="13.5" customHeight="1"/>
    <row r="37" spans="4:8" ht="13.5" customHeight="1">
      <c r="D37" t="s">
        <v>18</v>
      </c>
      <c r="F37">
        <v>2</v>
      </c>
      <c r="G37">
        <v>0.5</v>
      </c>
      <c r="H37">
        <v>0.7</v>
      </c>
    </row>
    <row r="38" ht="13.5" customHeight="1">
      <c r="D38" t="s">
        <v>17</v>
      </c>
    </row>
    <row r="39" spans="19:21" ht="13.5" customHeight="1">
      <c r="S39">
        <f>T39-0.5</f>
        <v>14.5</v>
      </c>
      <c r="T39">
        <v>15</v>
      </c>
      <c r="U39">
        <f>T39+0.5</f>
        <v>15.5</v>
      </c>
    </row>
    <row r="40" spans="4:21" ht="13.5" customHeight="1">
      <c r="D40" t="s">
        <v>36</v>
      </c>
      <c r="F40">
        <v>1</v>
      </c>
      <c r="S40">
        <f aca="true" t="shared" si="7" ref="S40:S46">T40-0.5</f>
        <v>29.5</v>
      </c>
      <c r="T40">
        <f>T39*2</f>
        <v>30</v>
      </c>
      <c r="U40">
        <f aca="true" t="shared" si="8" ref="U40:U46">T40+0.5</f>
        <v>30.5</v>
      </c>
    </row>
    <row r="41" spans="4:21" ht="13.5" customHeight="1">
      <c r="D41" t="s">
        <v>37</v>
      </c>
      <c r="S41">
        <f t="shared" si="7"/>
        <v>59.5</v>
      </c>
      <c r="T41">
        <f aca="true" t="shared" si="9" ref="T41:T46">T40*2</f>
        <v>60</v>
      </c>
      <c r="U41">
        <f t="shared" si="8"/>
        <v>60.5</v>
      </c>
    </row>
    <row r="42" spans="19:21" ht="13.5" customHeight="1">
      <c r="S42">
        <f t="shared" si="7"/>
        <v>119.5</v>
      </c>
      <c r="T42">
        <f t="shared" si="9"/>
        <v>120</v>
      </c>
      <c r="U42">
        <f t="shared" si="8"/>
        <v>120.5</v>
      </c>
    </row>
    <row r="43" spans="4:21" ht="13.5" customHeight="1">
      <c r="D43" s="17" t="s">
        <v>45</v>
      </c>
      <c r="G43">
        <v>1</v>
      </c>
      <c r="H43">
        <f>IF(G43=1,1,3.2)</f>
        <v>1</v>
      </c>
      <c r="S43">
        <f t="shared" si="7"/>
        <v>239.5</v>
      </c>
      <c r="T43">
        <f t="shared" si="9"/>
        <v>240</v>
      </c>
      <c r="U43">
        <f t="shared" si="8"/>
        <v>240.5</v>
      </c>
    </row>
    <row r="44" spans="4:21" ht="13.5" customHeight="1">
      <c r="D44" s="17" t="s">
        <v>46</v>
      </c>
      <c r="S44">
        <f t="shared" si="7"/>
        <v>479.5</v>
      </c>
      <c r="T44">
        <f t="shared" si="9"/>
        <v>480</v>
      </c>
      <c r="U44">
        <f t="shared" si="8"/>
        <v>480.5</v>
      </c>
    </row>
    <row r="45" spans="19:21" ht="13.5" customHeight="1">
      <c r="S45">
        <f t="shared" si="7"/>
        <v>959.5</v>
      </c>
      <c r="T45">
        <f t="shared" si="9"/>
        <v>960</v>
      </c>
      <c r="U45">
        <f t="shared" si="8"/>
        <v>960.5</v>
      </c>
    </row>
    <row r="46" spans="19:21" ht="13.5" customHeight="1">
      <c r="S46">
        <f t="shared" si="7"/>
        <v>1919.5</v>
      </c>
      <c r="T46">
        <f t="shared" si="9"/>
        <v>1920</v>
      </c>
      <c r="U46">
        <f t="shared" si="8"/>
        <v>1920.5</v>
      </c>
    </row>
    <row r="47" ht="13.5" customHeight="1"/>
    <row r="54" ht="12.75">
      <c r="C54" s="6"/>
    </row>
    <row r="55" ht="12.75">
      <c r="C55" s="6"/>
    </row>
  </sheetData>
  <sheetProtection/>
  <conditionalFormatting sqref="O24:Z31">
    <cfRule type="cellIs" priority="1" dxfId="1" operator="between" stopIfTrue="1">
      <formula>$C$66</formula>
      <formula>$D$66</formula>
    </cfRule>
    <cfRule type="cellIs" priority="2" dxfId="0" operator="lessThan" stopIfTrue="1">
      <formula>$C$66</formula>
    </cfRule>
  </conditionalFormatting>
  <printOptions/>
  <pageMargins left="0.75" right="0.75" top="1" bottom="1" header="0.5" footer="0.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NPO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Polanskaya</dc:creator>
  <cp:keywords/>
  <dc:description/>
  <cp:lastModifiedBy>OVNT-6</cp:lastModifiedBy>
  <cp:lastPrinted>2007-05-30T18:18:50Z</cp:lastPrinted>
  <dcterms:created xsi:type="dcterms:W3CDTF">2006-11-16T07:57:29Z</dcterms:created>
  <dcterms:modified xsi:type="dcterms:W3CDTF">2017-02-17T11:44:14Z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