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935" yWindow="1170" windowWidth="5235" windowHeight="2985" activeTab="0"/>
  </bookViews>
  <sheets>
    <sheet name="Инструкция" sheetId="1" r:id="rId1"/>
    <sheet name="Аутоиммунные маркеры" sheetId="2" r:id="rId2"/>
    <sheet name="Рабочий" sheetId="3" state="hidden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<sst xmlns="http://schemas.openxmlformats.org/spreadsheetml/2006/main" count="98" uniqueCount="82">
  <si>
    <t>Log</t>
  </si>
  <si>
    <t>позиция х</t>
  </si>
  <si>
    <t>длина строки</t>
  </si>
  <si>
    <t>ОП сывороток, О.Е.</t>
  </si>
  <si>
    <t>общий Т4</t>
  </si>
  <si>
    <t>свободный Т3</t>
  </si>
  <si>
    <t>общий Т3</t>
  </si>
  <si>
    <t>свободный Т4</t>
  </si>
  <si>
    <t>A</t>
  </si>
  <si>
    <t>B</t>
  </si>
  <si>
    <t>C</t>
  </si>
  <si>
    <t>D</t>
  </si>
  <si>
    <t>E</t>
  </si>
  <si>
    <t>F</t>
  </si>
  <si>
    <t>G</t>
  </si>
  <si>
    <t>H</t>
  </si>
  <si>
    <t>выкинуть</t>
  </si>
  <si>
    <t>Концентрация гормона в образце, МЕ/мл</t>
  </si>
  <si>
    <t>Оптическая плотность калибратора, О.Е.</t>
  </si>
  <si>
    <t>позиция х2</t>
  </si>
  <si>
    <t>проверка условия</t>
  </si>
  <si>
    <t>начало подстроки</t>
  </si>
  <si>
    <t>конец подстроки</t>
  </si>
  <si>
    <t>коэффициент</t>
  </si>
  <si>
    <t>позиция x5</t>
  </si>
  <si>
    <t>позиция x4</t>
  </si>
  <si>
    <t>позиция x3</t>
  </si>
  <si>
    <t>Концентрация антител в калибраторе, МЕ/мл</t>
  </si>
  <si>
    <t>1.Выберите название тест-системы:</t>
  </si>
  <si>
    <t>2.Внесите значения ОП калибраторов:</t>
  </si>
  <si>
    <t>4.Внесите значения оптических плотностей сывороток:</t>
  </si>
  <si>
    <t>5. Значения концентрации антител в образцах:</t>
  </si>
  <si>
    <t>«ДС-ИФА-IgE-общий»</t>
  </si>
  <si>
    <t>«ДС-ИФА-RF-M»</t>
  </si>
  <si>
    <t>«ДС-ИФА-RF-G»</t>
  </si>
  <si>
    <t>«ДС-ИФА-RF-A»</t>
  </si>
  <si>
    <t>«ДС-ИФА-RF»</t>
  </si>
  <si>
    <t>Файлы для обработки результатов количественных тест-систем</t>
  </si>
  <si>
    <t xml:space="preserve"> производства НПО «Диагностические системы»</t>
  </si>
  <si>
    <t>Общие сведения о продукте</t>
  </si>
  <si>
    <t>Установка файлов</t>
  </si>
  <si>
    <t>Возможные сбои в работе программы и способы их устранения</t>
  </si>
  <si>
    <t>Данные файлы предназначены для обработки результатов количественных иммуноферментных тест-систем производства НПО «Диагностические системы». Файлы автоматически рассчитывают концентрации и титры антител в исследуемых образцах.</t>
  </si>
  <si>
    <t>Файлы реализованы в формате Microsoft Excel. Работа с ними осуществляется на компьютере с операционной системой Windows и установленным приложением MS Excel.</t>
  </si>
  <si>
    <r>
      <t xml:space="preserve">Файл </t>
    </r>
    <r>
      <rPr>
        <b/>
        <sz val="12"/>
        <rFont val="Times New Roman"/>
        <family val="1"/>
      </rPr>
      <t xml:space="preserve">“Аутоиммунные маркеры.xls” </t>
    </r>
    <r>
      <rPr>
        <sz val="12"/>
        <rFont val="Times New Roman"/>
        <family val="1"/>
      </rPr>
      <t>служит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для обработки результатов тест-систем :</t>
    </r>
  </si>
  <si>
    <t>«ДС-ИФА-RF»;</t>
  </si>
  <si>
    <t>«ДС-ИФА-RF-M»;</t>
  </si>
  <si>
    <t>«ДС-ИФА-RF-G»;</t>
  </si>
  <si>
    <t>«ДС-ИФА-RF-A»;</t>
  </si>
  <si>
    <t>«ДС-ИФА-IgE-общий».</t>
  </si>
  <si>
    <r>
      <t>Файл</t>
    </r>
    <r>
      <rPr>
        <b/>
        <sz val="12"/>
        <rFont val="Times New Roman"/>
        <family val="1"/>
      </rPr>
      <t xml:space="preserve"> “Инструкция.doc” </t>
    </r>
    <r>
      <rPr>
        <sz val="12"/>
        <rFont val="Times New Roman"/>
        <family val="1"/>
      </rPr>
      <t>содержит электронный вариант инструкции.</t>
    </r>
  </si>
  <si>
    <t xml:space="preserve">1. Файлы рекомендуется скопировать на используемый компьютер. </t>
  </si>
  <si>
    <t xml:space="preserve">В случае нарушения  работы файлов вследствие изменения или удаления значений рабочих ячеек - необходимо заново скопировать файл. </t>
  </si>
  <si>
    <t>Также допустима работа с файлами непосредственно с CD-диска.</t>
  </si>
  <si>
    <r>
      <t xml:space="preserve">2. Для работы программы необходимо настроить в Excel с помощью меню   </t>
    </r>
    <r>
      <rPr>
        <sz val="12"/>
        <color indexed="12"/>
        <rFont val="Times New Roman"/>
        <family val="1"/>
      </rPr>
      <t>«Сервис»-&gt;«Макрос»-&gt;«Безопасность»</t>
    </r>
    <r>
      <rPr>
        <sz val="12"/>
        <rFont val="Times New Roman"/>
        <family val="1"/>
      </rPr>
      <t xml:space="preserve"> низкий уровень безопасности для макросов (рис.1).</t>
    </r>
  </si>
  <si>
    <t>При первом использовании файла после установки уровня безопасности необходимо закрыть файл и открыть его заново для включения макросов.</t>
  </si>
  <si>
    <t>Рис. 1</t>
  </si>
  <si>
    <r>
      <t xml:space="preserve">При вставке данных обратите внимание, какой разделитель используется во вставляемых значениях (запятая или точка). Если разделитель отличается от разделителя используемого в вашей версии Excel, до внесения данных необходимо выбрать разделитель, используемый во вставляемых данных: зайдите в меню </t>
    </r>
    <r>
      <rPr>
        <sz val="12"/>
        <color indexed="12"/>
        <rFont val="Times New Roman"/>
        <family val="1"/>
      </rPr>
      <t xml:space="preserve">«Сервис»-&gt; «Параметры» (рис.2А), </t>
    </r>
    <r>
      <rPr>
        <i/>
        <sz val="12"/>
        <color indexed="10"/>
        <rFont val="Times New Roman"/>
        <family val="1"/>
      </rPr>
      <t xml:space="preserve">перейдите на вкладку </t>
    </r>
    <r>
      <rPr>
        <sz val="12"/>
        <color indexed="12"/>
        <rFont val="Times New Roman"/>
        <family val="1"/>
      </rPr>
      <t>«Международные»</t>
    </r>
    <r>
      <rPr>
        <i/>
        <sz val="12"/>
        <color indexed="10"/>
        <rFont val="Times New Roman"/>
        <family val="1"/>
      </rPr>
      <t xml:space="preserve">, отключите флажок </t>
    </r>
    <r>
      <rPr>
        <sz val="12"/>
        <color indexed="12"/>
        <rFont val="Times New Roman"/>
        <family val="1"/>
      </rPr>
      <t>«Использовать системные разделители» (рис.2Б)</t>
    </r>
    <r>
      <rPr>
        <i/>
        <sz val="12"/>
        <color indexed="10"/>
        <rFont val="Times New Roman"/>
        <family val="1"/>
      </rPr>
      <t xml:space="preserve"> и в окошке</t>
    </r>
    <r>
      <rPr>
        <sz val="12"/>
        <color indexed="12"/>
        <rFont val="Times New Roman"/>
        <family val="1"/>
      </rPr>
      <t xml:space="preserve"> «Разделитель дробной и целой части» (рис.2В)  </t>
    </r>
    <r>
      <rPr>
        <i/>
        <sz val="12"/>
        <color indexed="10"/>
        <rFont val="Times New Roman"/>
        <family val="1"/>
      </rPr>
      <t>укажите нужный знак.</t>
    </r>
  </si>
  <si>
    <t>Определение концентраций аутоиммунных маркеров</t>
  </si>
  <si>
    <r>
      <t xml:space="preserve">Определение концентраций аутоиммунных маркеров производится с помощью файла </t>
    </r>
    <r>
      <rPr>
        <b/>
        <sz val="12"/>
        <rFont val="Times New Roman"/>
        <family val="1"/>
      </rPr>
      <t>«Аутоиммунные маркеры.xls»</t>
    </r>
    <r>
      <rPr>
        <sz val="12"/>
        <rFont val="Times New Roman"/>
        <family val="1"/>
      </rPr>
      <t xml:space="preserve"> для тест-систем:</t>
    </r>
  </si>
  <si>
    <t>Копирование данных в другие файлы Microsoft Excel</t>
  </si>
  <si>
    <t>Нарушения работы программы возможны в следующих случаях:</t>
  </si>
  <si>
    <r>
      <t>1. Отключены макросы.</t>
    </r>
    <r>
      <rPr>
        <sz val="12"/>
        <rFont val="Times New Roman"/>
        <family val="1"/>
      </rPr>
      <t xml:space="preserve"> Решение этой проблемы описано в разделе «Установка файлов», пункт 2.</t>
    </r>
  </si>
  <si>
    <r>
      <t>2. Замена или удаление значений рабочих ячеек.</t>
    </r>
    <r>
      <rPr>
        <sz val="12"/>
        <rFont val="Times New Roman"/>
        <family val="1"/>
      </rPr>
      <t xml:space="preserve"> В этом случае необходимо заново скопировать на компьютер файлы с диска.</t>
    </r>
  </si>
  <si>
    <t>Замечания и вопросы по работе с файлами  присылайте по адресу: ckd@npods.ru</t>
  </si>
  <si>
    <t>Рис.2</t>
  </si>
  <si>
    <t>Рис.3</t>
  </si>
  <si>
    <t>Рис.4</t>
  </si>
  <si>
    <r>
      <t>Определение концентрации антител следует проводить на листе</t>
    </r>
    <r>
      <rPr>
        <b/>
        <sz val="12"/>
        <rFont val="Times New Roman"/>
        <family val="1"/>
      </rPr>
      <t xml:space="preserve"> «Аутоиммунные маркеры»</t>
    </r>
    <r>
      <rPr>
        <sz val="12"/>
        <color indexed="12"/>
        <rFont val="Times New Roman"/>
        <family val="1"/>
      </rPr>
      <t xml:space="preserve"> </t>
    </r>
    <r>
      <rPr>
        <sz val="12"/>
        <rFont val="Times New Roman"/>
        <family val="1"/>
      </rPr>
      <t>(рис.3А)</t>
    </r>
    <r>
      <rPr>
        <sz val="12"/>
        <color indexed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по следующему алгоритму:</t>
    </r>
  </si>
  <si>
    <t>1. Выберите в выпадающем списке тест-систему для которой производится расчет концентраций (рис.3Б).</t>
  </si>
  <si>
    <t>2. Внесите значения указанные значения  концентрации антител в калибраторах  и значения ОП  калибраторов (рис.3В).</t>
  </si>
  <si>
    <t>3. Нажатием кнопки(рис.3Г) подберите формулу для пересчета (формула будет внесена автоматически). Обратите внимание, что при изменении значения одного из калибраторов пересчитанные значения концентраций антител для образцов автоматически обнуляются, и необходимо опять подбирать формулу нажатием кнопки 2.</t>
  </si>
  <si>
    <t>4. Внесите значения ОП исследуемых образцов вручную или вставьте, скопировав из другого файла или программы (рис.3Д).</t>
  </si>
  <si>
    <t>5.  В нижней таблице представлены результаты: концентрации антител, МЕ/мл (рис.3Е). У тест-систем для выявления ревматоидного фактора зеленым цветом выделены отрицательные образцы.</t>
  </si>
  <si>
    <t>При копировании данных в другие файлы или листы Microsoft Excel необходимо скопировать нужные ячейки и вставить только значения (рис.4Б) с помощью функции «Специальная вставка» (вызывается из меню правой кнопки мыши- рис.4А).</t>
  </si>
  <si>
    <t>СОДЕРЖАНИЕ</t>
  </si>
  <si>
    <t>Копирование данных в другие файлы Excel</t>
  </si>
  <si>
    <t>Определение концентраций  аутоиммунных маркеров</t>
  </si>
  <si>
    <t>Инструкция по применению</t>
  </si>
  <si>
    <t>R2 = 1</t>
  </si>
  <si>
    <t>y = 0,0145x3 - 0,2802x2 + 1,7539x + 0,1452</t>
  </si>
  <si>
    <r>
      <t>Каждый файл состоит из нескольких листов: на первом листе располагается инструкция по использованию, на последующих располагаются модули для обработки результатов тест-систем соответственно названиям листов</t>
    </r>
    <r>
      <rPr>
        <sz val="12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</si>
</sst>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000"/>
    <numFmt numFmtId="171" formatCode="0.0"/>
    <numFmt numFmtId="172" formatCode="0.000"/>
  </numFmts>
  <fonts count="53">
    <font>
      <sz val="10"/>
      <name val="Arial Cyr"/>
      <family val="0"/>
    </font>
    <font>
      <b/>
      <sz val="10"/>
      <name val="Arial Cyr"/>
      <family val="2"/>
    </font>
    <font>
      <b/>
      <sz val="10"/>
      <color indexed="20"/>
      <name val="Arial Cyr"/>
      <family val="0"/>
    </font>
    <font>
      <b/>
      <sz val="14"/>
      <color indexed="2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color indexed="10"/>
      <name val="Times New Roman"/>
      <family val="1"/>
    </font>
    <font>
      <b/>
      <sz val="14"/>
      <color indexed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color indexed="20"/>
      <name val="Arial Cyr"/>
      <family val="0"/>
    </font>
    <font>
      <sz val="3"/>
      <color indexed="8"/>
      <name val="Arial Cyr"/>
      <family val="0"/>
    </font>
    <font>
      <vertAlign val="superscript"/>
      <sz val="3"/>
      <color indexed="8"/>
      <name val="Arial Cyr"/>
      <family val="0"/>
    </font>
    <font>
      <sz val="3.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 wrapText="1"/>
    </xf>
    <xf numFmtId="168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2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indent="2"/>
    </xf>
    <xf numFmtId="0" fontId="9" fillId="0" borderId="0" xfId="0" applyFont="1" applyAlignment="1">
      <alignment horizontal="left" indent="2"/>
    </xf>
    <xf numFmtId="0" fontId="8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71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 wrapText="1"/>
    </xf>
    <xf numFmtId="171" fontId="0" fillId="0" borderId="10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2" fillId="0" borderId="0" xfId="0" applyFont="1" applyAlignment="1">
      <alignment horizontal="left" indent="2"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5"/>
          <c:y val="0.14425"/>
          <c:w val="0.81125"/>
          <c:h val="0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Рабочий!$C$20:$C$31</c:f>
              <c:numCache/>
            </c:numRef>
          </c:xVal>
          <c:yVal>
            <c:numRef>
              <c:f>Рабочий!$D$20:$D$31</c:f>
              <c:numCache/>
            </c:numRef>
          </c:yVal>
          <c:smooth val="1"/>
        </c:ser>
        <c:axId val="17878973"/>
        <c:axId val="26693030"/>
      </c:scatterChart>
      <c:valAx>
        <c:axId val="17878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93030"/>
        <c:crosses val="autoZero"/>
        <c:crossBetween val="midCat"/>
        <c:dispUnits/>
      </c:valAx>
      <c:valAx>
        <c:axId val="266930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789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14425"/>
          <c:w val="0.8515"/>
          <c:h val="0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Рабочий!$C$20:$C$31</c:f>
              <c:numCache/>
            </c:numRef>
          </c:xVal>
          <c:yVal>
            <c:numRef>
              <c:f>Рабочий!$D$20:$D$31</c:f>
              <c:numCache/>
            </c:numRef>
          </c:yVal>
          <c:smooth val="1"/>
        </c:ser>
        <c:axId val="38910679"/>
        <c:axId val="14651792"/>
      </c:scatterChart>
      <c:valAx>
        <c:axId val="38910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51792"/>
        <c:crosses val="autoZero"/>
        <c:crossBetween val="midCat"/>
        <c:dispUnits/>
      </c:valAx>
      <c:valAx>
        <c:axId val="14651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106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39</xdr:row>
      <xdr:rowOff>66675</xdr:rowOff>
    </xdr:from>
    <xdr:to>
      <xdr:col>1</xdr:col>
      <xdr:colOff>7724775</xdr:colOff>
      <xdr:row>40</xdr:row>
      <xdr:rowOff>2933700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9658350"/>
          <a:ext cx="6781800" cy="3067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1000125</xdr:colOff>
      <xdr:row>58</xdr:row>
      <xdr:rowOff>171450</xdr:rowOff>
    </xdr:from>
    <xdr:to>
      <xdr:col>1</xdr:col>
      <xdr:colOff>7791450</xdr:colOff>
      <xdr:row>58</xdr:row>
      <xdr:rowOff>2828925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19135725"/>
          <a:ext cx="6791325" cy="2667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981075</xdr:colOff>
      <xdr:row>60</xdr:row>
      <xdr:rowOff>123825</xdr:rowOff>
    </xdr:from>
    <xdr:to>
      <xdr:col>1</xdr:col>
      <xdr:colOff>7762875</xdr:colOff>
      <xdr:row>60</xdr:row>
      <xdr:rowOff>3067050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0" y="22326600"/>
          <a:ext cx="678180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1038225</xdr:colOff>
      <xdr:row>65</xdr:row>
      <xdr:rowOff>114300</xdr:rowOff>
    </xdr:from>
    <xdr:to>
      <xdr:col>1</xdr:col>
      <xdr:colOff>7839075</xdr:colOff>
      <xdr:row>65</xdr:row>
      <xdr:rowOff>3190875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81150" y="26812875"/>
          <a:ext cx="6800850" cy="3076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209550</xdr:colOff>
      <xdr:row>0</xdr:row>
      <xdr:rowOff>142875</xdr:rowOff>
    </xdr:from>
    <xdr:to>
      <xdr:col>20</xdr:col>
      <xdr:colOff>657225</xdr:colOff>
      <xdr:row>3</xdr:row>
      <xdr:rowOff>142875</xdr:rowOff>
    </xdr:to>
    <xdr:sp macro="[0]!Поле3_Щелкнуть">
      <xdr:nvSpPr>
        <xdr:cNvPr id="1" name="Text Box 6"/>
        <xdr:cNvSpPr txBox="1">
          <a:spLocks noChangeArrowheads="1"/>
        </xdr:cNvSpPr>
      </xdr:nvSpPr>
      <xdr:spPr>
        <a:xfrm>
          <a:off x="10448925" y="142875"/>
          <a:ext cx="31908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800080"/>
              </a:solidFill>
              <a:latin typeface="Arial Cyr"/>
              <a:ea typeface="Arial Cyr"/>
              <a:cs typeface="Arial Cyr"/>
            </a:rPr>
            <a:t>Если Вы вставляете данные с другим разделителем дробной и целой частей числа...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1</xdr:row>
      <xdr:rowOff>0</xdr:rowOff>
    </xdr:from>
    <xdr:to>
      <xdr:col>9</xdr:col>
      <xdr:colOff>647700</xdr:colOff>
      <xdr:row>5</xdr:row>
      <xdr:rowOff>9525</xdr:rowOff>
    </xdr:to>
    <xdr:graphicFrame>
      <xdr:nvGraphicFramePr>
        <xdr:cNvPr id="1" name="Chart 4"/>
        <xdr:cNvGraphicFramePr/>
      </xdr:nvGraphicFramePr>
      <xdr:xfrm>
        <a:off x="6276975" y="47625"/>
        <a:ext cx="1257300" cy="20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3</xdr:row>
      <xdr:rowOff>0</xdr:rowOff>
    </xdr:from>
    <xdr:to>
      <xdr:col>10</xdr:col>
      <xdr:colOff>495300</xdr:colOff>
      <xdr:row>8</xdr:row>
      <xdr:rowOff>19050</xdr:rowOff>
    </xdr:to>
    <xdr:graphicFrame>
      <xdr:nvGraphicFramePr>
        <xdr:cNvPr id="2" name="Chart 5"/>
        <xdr:cNvGraphicFramePr/>
      </xdr:nvGraphicFramePr>
      <xdr:xfrm>
        <a:off x="6505575" y="142875"/>
        <a:ext cx="1562100" cy="25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kd@npods.ru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B1:D82"/>
  <sheetViews>
    <sheetView showGridLines="0" tabSelected="1" zoomScalePageLayoutView="0" workbookViewId="0" topLeftCell="A1">
      <selection activeCell="B1" sqref="B1"/>
    </sheetView>
  </sheetViews>
  <sheetFormatPr defaultColWidth="9.00390625" defaultRowHeight="12.75"/>
  <cols>
    <col min="1" max="1" width="7.125" style="0" customWidth="1"/>
    <col min="2" max="2" width="112.25390625" style="28" customWidth="1"/>
  </cols>
  <sheetData>
    <row r="1" ht="18.75">
      <c r="B1" s="36" t="s">
        <v>37</v>
      </c>
    </row>
    <row r="2" ht="18.75">
      <c r="B2" s="36" t="s">
        <v>38</v>
      </c>
    </row>
    <row r="3" ht="15.75">
      <c r="B3" s="37"/>
    </row>
    <row r="4" ht="15.75">
      <c r="B4" s="38" t="s">
        <v>78</v>
      </c>
    </row>
    <row r="5" ht="15.75">
      <c r="B5" s="37"/>
    </row>
    <row r="6" ht="15.75">
      <c r="B6" s="37"/>
    </row>
    <row r="7" ht="15.75">
      <c r="B7" s="37"/>
    </row>
    <row r="8" ht="15.75">
      <c r="B8" s="38" t="s">
        <v>75</v>
      </c>
    </row>
    <row r="9" ht="15.75">
      <c r="B9" s="38"/>
    </row>
    <row r="10" ht="15.75">
      <c r="B10" s="45" t="s">
        <v>39</v>
      </c>
    </row>
    <row r="11" ht="15.75">
      <c r="B11" s="45" t="s">
        <v>40</v>
      </c>
    </row>
    <row r="12" ht="15.75">
      <c r="B12" s="46" t="s">
        <v>77</v>
      </c>
    </row>
    <row r="13" ht="15.75">
      <c r="B13" s="45" t="s">
        <v>76</v>
      </c>
    </row>
    <row r="14" ht="15.75">
      <c r="B14" s="45" t="s">
        <v>41</v>
      </c>
    </row>
    <row r="16" spans="2:3" ht="18.75">
      <c r="B16" s="36" t="s">
        <v>39</v>
      </c>
      <c r="C16" s="26"/>
    </row>
    <row r="17" spans="2:3" ht="18.75">
      <c r="B17" s="36"/>
      <c r="C17" s="20"/>
    </row>
    <row r="18" spans="2:3" ht="47.25">
      <c r="B18" s="39" t="s">
        <v>42</v>
      </c>
      <c r="C18" s="26"/>
    </row>
    <row r="19" spans="2:3" ht="15.75">
      <c r="B19" s="39"/>
      <c r="C19" s="21"/>
    </row>
    <row r="20" spans="2:3" ht="31.5">
      <c r="B20" s="39" t="s">
        <v>43</v>
      </c>
      <c r="C20" s="21"/>
    </row>
    <row r="21" spans="2:3" ht="15.75">
      <c r="B21" s="39"/>
      <c r="C21" s="21"/>
    </row>
    <row r="22" spans="2:4" ht="15.75">
      <c r="B22" s="39" t="s">
        <v>44</v>
      </c>
      <c r="C22" s="25"/>
      <c r="D22" s="22"/>
    </row>
    <row r="23" spans="2:4" ht="15.75">
      <c r="B23" s="41" t="s">
        <v>45</v>
      </c>
      <c r="C23" s="25"/>
      <c r="D23" s="22"/>
    </row>
    <row r="24" spans="2:3" ht="15.75">
      <c r="B24" s="41" t="s">
        <v>46</v>
      </c>
      <c r="C24" s="24"/>
    </row>
    <row r="25" spans="2:3" ht="15.75">
      <c r="B25" s="41" t="s">
        <v>47</v>
      </c>
      <c r="C25" s="24"/>
    </row>
    <row r="26" spans="2:3" ht="15.75">
      <c r="B26" s="41" t="s">
        <v>48</v>
      </c>
      <c r="C26" s="22"/>
    </row>
    <row r="27" spans="2:3" ht="15.75">
      <c r="B27" s="41" t="s">
        <v>49</v>
      </c>
      <c r="C27" s="22"/>
    </row>
    <row r="28" spans="2:3" ht="15.75">
      <c r="B28" s="39"/>
      <c r="C28" s="23"/>
    </row>
    <row r="29" spans="2:3" ht="47.25">
      <c r="B29" s="39" t="s">
        <v>81</v>
      </c>
      <c r="C29" s="23"/>
    </row>
    <row r="30" spans="2:3" ht="15.75">
      <c r="B30" s="39"/>
      <c r="C30" s="22"/>
    </row>
    <row r="31" spans="2:3" ht="15.75">
      <c r="B31" s="39" t="s">
        <v>50</v>
      </c>
      <c r="C31" s="22"/>
    </row>
    <row r="32" spans="2:4" ht="15.75">
      <c r="B32" s="39"/>
      <c r="C32" s="22"/>
      <c r="D32" s="22"/>
    </row>
    <row r="33" spans="2:4" ht="18.75">
      <c r="B33" s="36" t="s">
        <v>40</v>
      </c>
      <c r="C33" s="25"/>
      <c r="D33" s="22"/>
    </row>
    <row r="34" spans="2:4" ht="18.75">
      <c r="B34" s="36"/>
      <c r="C34" s="25"/>
      <c r="D34" s="22"/>
    </row>
    <row r="35" spans="2:3" ht="15.75">
      <c r="B35" s="41" t="s">
        <v>51</v>
      </c>
      <c r="C35" s="24"/>
    </row>
    <row r="36" spans="2:3" ht="31.5">
      <c r="B36" s="41" t="s">
        <v>52</v>
      </c>
      <c r="C36" s="24"/>
    </row>
    <row r="37" spans="2:3" ht="15.75">
      <c r="B37" s="41" t="s">
        <v>53</v>
      </c>
      <c r="C37" s="22"/>
    </row>
    <row r="38" spans="2:3" ht="31.5">
      <c r="B38" s="41" t="s">
        <v>54</v>
      </c>
      <c r="C38" s="22"/>
    </row>
    <row r="39" spans="2:3" ht="31.5">
      <c r="B39" s="41" t="s">
        <v>55</v>
      </c>
      <c r="C39" s="23"/>
    </row>
    <row r="40" spans="2:3" ht="15.75">
      <c r="B40" s="41"/>
      <c r="C40" s="23"/>
    </row>
    <row r="41" spans="2:3" ht="243.75" customHeight="1">
      <c r="B41" s="43" t="s">
        <v>56</v>
      </c>
      <c r="C41" s="22"/>
    </row>
    <row r="42" ht="15.75">
      <c r="C42" s="22"/>
    </row>
    <row r="43" spans="2:4" ht="18.75">
      <c r="B43" s="36" t="s">
        <v>58</v>
      </c>
      <c r="C43" s="22"/>
      <c r="D43" s="22"/>
    </row>
    <row r="44" ht="18.75">
      <c r="B44" s="40"/>
    </row>
    <row r="45" ht="31.5">
      <c r="B45" s="39" t="s">
        <v>59</v>
      </c>
    </row>
    <row r="46" ht="15.75">
      <c r="B46" s="41" t="s">
        <v>46</v>
      </c>
    </row>
    <row r="47" ht="15.75">
      <c r="B47" s="41" t="s">
        <v>45</v>
      </c>
    </row>
    <row r="48" ht="15.75">
      <c r="B48" s="41" t="s">
        <v>47</v>
      </c>
    </row>
    <row r="49" ht="15.75">
      <c r="B49" s="41" t="s">
        <v>48</v>
      </c>
    </row>
    <row r="50" ht="15.75">
      <c r="B50" s="41" t="s">
        <v>49</v>
      </c>
    </row>
    <row r="51" ht="31.5">
      <c r="B51" s="39" t="s">
        <v>68</v>
      </c>
    </row>
    <row r="52" ht="15.75">
      <c r="B52" s="41" t="s">
        <v>69</v>
      </c>
    </row>
    <row r="53" ht="31.5">
      <c r="B53" s="41" t="s">
        <v>70</v>
      </c>
    </row>
    <row r="54" ht="63">
      <c r="B54" s="41" t="s">
        <v>71</v>
      </c>
    </row>
    <row r="55" ht="31.5">
      <c r="B55" s="41" t="s">
        <v>72</v>
      </c>
    </row>
    <row r="56" ht="94.5">
      <c r="B56" s="44" t="s">
        <v>57</v>
      </c>
    </row>
    <row r="57" ht="31.5">
      <c r="B57" s="41" t="s">
        <v>73</v>
      </c>
    </row>
    <row r="58" ht="15.75">
      <c r="B58" s="41"/>
    </row>
    <row r="59" ht="240.75" customHeight="1">
      <c r="B59" s="43"/>
    </row>
    <row r="60" ht="14.25">
      <c r="B60" s="43" t="s">
        <v>65</v>
      </c>
    </row>
    <row r="61" ht="256.5" customHeight="1">
      <c r="B61" s="43" t="s">
        <v>66</v>
      </c>
    </row>
    <row r="62" ht="18.75">
      <c r="B62" s="36" t="s">
        <v>60</v>
      </c>
    </row>
    <row r="63" ht="18.75">
      <c r="B63" s="36"/>
    </row>
    <row r="64" ht="47.25">
      <c r="B64" s="39" t="s">
        <v>74</v>
      </c>
    </row>
    <row r="66" ht="279.75" customHeight="1">
      <c r="B66" s="38" t="s">
        <v>67</v>
      </c>
    </row>
    <row r="67" ht="18.75">
      <c r="B67" s="40"/>
    </row>
    <row r="68" ht="18.75">
      <c r="B68" s="36" t="s">
        <v>41</v>
      </c>
    </row>
    <row r="69" ht="15.75">
      <c r="B69" s="37"/>
    </row>
    <row r="70" ht="15.75">
      <c r="B70" s="39" t="s">
        <v>61</v>
      </c>
    </row>
    <row r="71" ht="15.75">
      <c r="B71" s="42" t="s">
        <v>62</v>
      </c>
    </row>
    <row r="72" ht="31.5">
      <c r="B72" s="42" t="s">
        <v>63</v>
      </c>
    </row>
    <row r="73" ht="15.75">
      <c r="B73" s="41"/>
    </row>
    <row r="74" ht="15.75">
      <c r="B74" s="39"/>
    </row>
    <row r="75" ht="12.75">
      <c r="B75" t="s">
        <v>64</v>
      </c>
    </row>
    <row r="76" ht="15.75">
      <c r="B76" s="41"/>
    </row>
    <row r="77" ht="15.75">
      <c r="B77" s="41"/>
    </row>
    <row r="78" ht="15.75">
      <c r="B78" s="41"/>
    </row>
    <row r="79" ht="15.75">
      <c r="B79" s="41"/>
    </row>
    <row r="80" ht="15.75">
      <c r="B80" s="41"/>
    </row>
    <row r="81" ht="15.75">
      <c r="B81" s="41"/>
    </row>
    <row r="82" ht="15.75">
      <c r="B82" s="41"/>
    </row>
  </sheetData>
  <sheetProtection password="CF3A" sheet="1" objects="1" scenarios="1"/>
  <hyperlinks>
    <hyperlink ref="B75" r:id="rId1" display="mailto:ckd@npods.ru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B1:T45"/>
  <sheetViews>
    <sheetView zoomScalePageLayoutView="0" workbookViewId="0" topLeftCell="A1">
      <selection activeCell="C8" sqref="C8:D8"/>
    </sheetView>
  </sheetViews>
  <sheetFormatPr defaultColWidth="9.00390625" defaultRowHeight="12.75"/>
  <cols>
    <col min="2" max="2" width="3.00390625" style="0" customWidth="1"/>
    <col min="3" max="3" width="14.125" style="0" customWidth="1"/>
    <col min="4" max="4" width="19.75390625" style="0" customWidth="1"/>
    <col min="5" max="5" width="4.00390625" style="0" customWidth="1"/>
    <col min="6" max="6" width="4.875" style="0" customWidth="1"/>
    <col min="7" max="7" width="4.625" style="0" customWidth="1"/>
    <col min="8" max="8" width="3.00390625" style="0" customWidth="1"/>
    <col min="9" max="20" width="9.00390625" style="0" customWidth="1"/>
  </cols>
  <sheetData>
    <row r="1" ht="19.5" customHeight="1">
      <c r="D1" s="12" t="s">
        <v>28</v>
      </c>
    </row>
    <row r="3" spans="3:8" ht="15.75" customHeight="1">
      <c r="C3" s="12" t="s">
        <v>29</v>
      </c>
      <c r="H3" s="12" t="s">
        <v>30</v>
      </c>
    </row>
    <row r="4" spans="2:5" ht="51.75" thickBot="1">
      <c r="B4" s="9"/>
      <c r="C4" s="27" t="s">
        <v>27</v>
      </c>
      <c r="D4" s="27" t="s">
        <v>18</v>
      </c>
      <c r="E4" s="31"/>
    </row>
    <row r="5" spans="2:20" ht="13.5" thickBot="1">
      <c r="B5" s="9"/>
      <c r="C5" s="15"/>
      <c r="D5" s="15"/>
      <c r="E5" s="31"/>
      <c r="H5" s="50" t="s">
        <v>3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2:20" ht="13.5" thickBot="1">
      <c r="B6" s="9"/>
      <c r="C6" s="15"/>
      <c r="D6" s="15"/>
      <c r="E6" s="31"/>
      <c r="H6" s="2"/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0">
        <v>10</v>
      </c>
      <c r="S6" s="10">
        <v>11</v>
      </c>
      <c r="T6" s="10">
        <v>12</v>
      </c>
    </row>
    <row r="7" spans="2:20" ht="13.5" thickBot="1">
      <c r="B7" s="9"/>
      <c r="C7" s="15"/>
      <c r="D7" s="15"/>
      <c r="E7" s="31"/>
      <c r="H7" s="17" t="s">
        <v>8</v>
      </c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2:20" ht="13.5" thickBot="1">
      <c r="B8" s="9"/>
      <c r="C8" s="15"/>
      <c r="D8" s="15"/>
      <c r="E8" s="31"/>
      <c r="H8" s="11" t="s">
        <v>9</v>
      </c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2:20" ht="13.5" thickBot="1">
      <c r="B9" s="9"/>
      <c r="C9" s="15"/>
      <c r="D9" s="15"/>
      <c r="E9" s="31"/>
      <c r="H9" s="11" t="s">
        <v>10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spans="2:20" ht="13.5" thickBot="1">
      <c r="B10" s="9"/>
      <c r="C10" s="15"/>
      <c r="D10" s="15"/>
      <c r="E10" s="31"/>
      <c r="F10" s="7"/>
      <c r="G10" s="7"/>
      <c r="H10" s="11" t="s">
        <v>11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</row>
    <row r="11" spans="2:20" ht="13.5" thickBot="1">
      <c r="B11" s="9"/>
      <c r="C11" s="15"/>
      <c r="D11" s="15"/>
      <c r="E11" s="31"/>
      <c r="F11" s="7"/>
      <c r="G11" s="7"/>
      <c r="H11" s="17" t="s">
        <v>12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  <row r="12" spans="2:20" ht="13.5" thickBot="1">
      <c r="B12" s="9"/>
      <c r="C12" s="15"/>
      <c r="D12" s="15"/>
      <c r="E12" s="31"/>
      <c r="F12" s="7"/>
      <c r="G12" s="7"/>
      <c r="H12" s="17" t="s">
        <v>13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</row>
    <row r="13" spans="2:20" ht="13.5" thickBot="1">
      <c r="B13" s="9"/>
      <c r="C13" s="15"/>
      <c r="D13" s="15"/>
      <c r="E13" s="31"/>
      <c r="F13" s="7"/>
      <c r="G13" s="7"/>
      <c r="H13" s="17" t="s">
        <v>14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pans="2:20" ht="13.5" thickBot="1">
      <c r="B14" s="9"/>
      <c r="C14" s="15"/>
      <c r="D14" s="49"/>
      <c r="E14" s="31"/>
      <c r="H14" s="17" t="s">
        <v>15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</row>
    <row r="15" spans="2:5" ht="13.5" customHeight="1">
      <c r="B15" s="9"/>
      <c r="C15" s="15"/>
      <c r="D15" s="49"/>
      <c r="E15" s="31"/>
    </row>
    <row r="16" spans="2:8" ht="13.5" thickBot="1">
      <c r="B16" s="9"/>
      <c r="C16" s="15"/>
      <c r="D16" s="49"/>
      <c r="E16" s="31"/>
      <c r="H16" s="12" t="s">
        <v>31</v>
      </c>
    </row>
    <row r="17" spans="2:20" ht="13.5" thickBot="1">
      <c r="B17" s="9"/>
      <c r="C17" s="9"/>
      <c r="D17" s="9"/>
      <c r="E17" s="13"/>
      <c r="H17" s="51" t="s">
        <v>17</v>
      </c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3"/>
    </row>
    <row r="18" spans="2:20" ht="13.5" thickBot="1">
      <c r="B18" s="9"/>
      <c r="C18" s="9"/>
      <c r="D18" s="9"/>
      <c r="E18" s="13"/>
      <c r="H18" s="2"/>
      <c r="I18" s="10">
        <v>1</v>
      </c>
      <c r="J18" s="10">
        <v>2</v>
      </c>
      <c r="K18" s="10">
        <v>3</v>
      </c>
      <c r="L18" s="10">
        <v>4</v>
      </c>
      <c r="M18" s="10">
        <v>5</v>
      </c>
      <c r="N18" s="10">
        <v>6</v>
      </c>
      <c r="O18" s="10">
        <v>7</v>
      </c>
      <c r="P18" s="10">
        <v>8</v>
      </c>
      <c r="Q18" s="10">
        <v>9</v>
      </c>
      <c r="R18" s="10">
        <v>10</v>
      </c>
      <c r="S18" s="10">
        <v>11</v>
      </c>
      <c r="T18" s="10">
        <v>12</v>
      </c>
    </row>
    <row r="19" spans="2:20" ht="13.5" thickBot="1">
      <c r="B19" s="9"/>
      <c r="C19" s="9"/>
      <c r="D19" s="9"/>
      <c r="E19" s="13"/>
      <c r="H19" s="11" t="s">
        <v>8</v>
      </c>
      <c r="I19" s="33" t="str">
        <f>IF(AND(ISNUMBER(I7),(Рабочий!$E$17=1)),IF(AND(I7&gt;=Рабочий!$A$34,Рабочий!$E$34&gt;=I7),EXP(Рабочий!$G$8*POWER(LN(I7),5)+Рабочий!$G$9*POWER(LN(I7),4)+Рабочий!$G$10*POWER(LN(I7),3)+Рабочий!$G$11*POWER(LN(I7),2)+Рабочий!$G$12*LN(I7)+Рабочий!$G$13),IF(I7&lt;Рабочий!$A$34,0,CONCATENATE("&gt;",Рабочий!$D$34))),"     ")</f>
        <v>     </v>
      </c>
      <c r="J19" s="33" t="str">
        <f>IF(AND(ISNUMBER(J7),(Рабочий!$E$17=1)),IF(AND(J7&gt;=Рабочий!$A$34,Рабочий!$E$34&gt;=J7),EXP(Рабочий!$G$8*POWER(LN(J7),5)+Рабочий!$G$9*POWER(LN(J7),4)+Рабочий!$G$10*POWER(LN(J7),3)+Рабочий!$G$11*POWER(LN(J7),2)+Рабочий!$G$12*LN(J7)+Рабочий!$G$13),IF(J7&lt;Рабочий!$A$34,0,CONCATENATE("&gt;",Рабочий!$D$34))),"     ")</f>
        <v>     </v>
      </c>
      <c r="K19" s="33" t="str">
        <f>IF(AND(ISNUMBER(K7),(Рабочий!$E$17=1)),IF(AND(K7&gt;=Рабочий!$A$34,Рабочий!$E$34&gt;=K7),EXP(Рабочий!$G$8*POWER(LN(K7),5)+Рабочий!$G$9*POWER(LN(K7),4)+Рабочий!$G$10*POWER(LN(K7),3)+Рабочий!$G$11*POWER(LN(K7),2)+Рабочий!$G$12*LN(K7)+Рабочий!$G$13),IF(K7&lt;Рабочий!$A$34,0,CONCATENATE("&gt;",Рабочий!$D$34))),"     ")</f>
        <v>     </v>
      </c>
      <c r="L19" s="33" t="str">
        <f>IF(AND(ISNUMBER(L7),(Рабочий!$E$17=1)),IF(AND(L7&gt;=Рабочий!$A$34,Рабочий!$E$34&gt;=L7),EXP(Рабочий!$G$8*POWER(LN(L7),5)+Рабочий!$G$9*POWER(LN(L7),4)+Рабочий!$G$10*POWER(LN(L7),3)+Рабочий!$G$11*POWER(LN(L7),2)+Рабочий!$G$12*LN(L7)+Рабочий!$G$13),IF(L7&lt;Рабочий!$A$34,0,CONCATENATE("&gt;",Рабочий!$D$34))),"     ")</f>
        <v>     </v>
      </c>
      <c r="M19" s="33" t="str">
        <f>IF(AND(ISNUMBER(M7),(Рабочий!$E$17=1)),IF(AND(M7&gt;=Рабочий!$A$34,Рабочий!$E$34&gt;=M7),EXP(Рабочий!$G$8*POWER(LN(M7),5)+Рабочий!$G$9*POWER(LN(M7),4)+Рабочий!$G$10*POWER(LN(M7),3)+Рабочий!$G$11*POWER(LN(M7),2)+Рабочий!$G$12*LN(M7)+Рабочий!$G$13),IF(M7&lt;Рабочий!$A$34,0,CONCATENATE("&gt;",Рабочий!$D$34))),"     ")</f>
        <v>     </v>
      </c>
      <c r="N19" s="33" t="str">
        <f>IF(AND(ISNUMBER(N7),(Рабочий!$E$17=1)),IF(AND(N7&gt;=Рабочий!$A$34,Рабочий!$E$34&gt;=N7),EXP(Рабочий!$G$8*POWER(LN(N7),5)+Рабочий!$G$9*POWER(LN(N7),4)+Рабочий!$G$10*POWER(LN(N7),3)+Рабочий!$G$11*POWER(LN(N7),2)+Рабочий!$G$12*LN(N7)+Рабочий!$G$13),IF(N7&lt;Рабочий!$A$34,"-",CONCATENATE("&gt;",Рабочий!$D$34))),"     ")</f>
        <v>     </v>
      </c>
      <c r="O19" s="33" t="str">
        <f>IF(AND(ISNUMBER(O7),(Рабочий!$E$17=1)),IF(AND(O7&gt;=Рабочий!$A$34,Рабочий!$E$34&gt;=O7),EXP(Рабочий!$G$8*POWER(LN(O7),5)+Рабочий!$G$9*POWER(LN(O7),4)+Рабочий!$G$10*POWER(LN(O7),3)+Рабочий!$G$11*POWER(LN(O7),2)+Рабочий!$G$12*LN(O7)+Рабочий!$G$13),IF(O7&lt;Рабочий!$A$34,"-",CONCATENATE("&gt;",Рабочий!$D$34))),"     ")</f>
        <v>     </v>
      </c>
      <c r="P19" s="33" t="str">
        <f>IF(AND(ISNUMBER(P7),(Рабочий!$E$17=1)),IF(AND(P7&gt;=Рабочий!$A$34,Рабочий!$E$34&gt;=P7),EXP(Рабочий!$G$8*POWER(LN(P7),5)+Рабочий!$G$9*POWER(LN(P7),4)+Рабочий!$G$10*POWER(LN(P7),3)+Рабочий!$G$11*POWER(LN(P7),2)+Рабочий!$G$12*LN(P7)+Рабочий!$G$13),IF(P7&lt;Рабочий!$A$34,"-",CONCATENATE("&gt;",Рабочий!$D$34))),"     ")</f>
        <v>     </v>
      </c>
      <c r="Q19" s="33" t="str">
        <f>IF(AND(ISNUMBER(Q7),(Рабочий!$E$17=1)),IF(AND(Q7&gt;=Рабочий!$A$34,Рабочий!$E$34&gt;=Q7),EXP(Рабочий!$G$8*POWER(LN(Q7),5)+Рабочий!$G$9*POWER(LN(Q7),4)+Рабочий!$G$10*POWER(LN(Q7),3)+Рабочий!$G$11*POWER(LN(Q7),2)+Рабочий!$G$12*LN(Q7)+Рабочий!$G$13),IF(Q7&lt;Рабочий!$A$34,"-",CONCATENATE("&gt;",Рабочий!$D$34))),"     ")</f>
        <v>     </v>
      </c>
      <c r="R19" s="33" t="str">
        <f>IF(AND(ISNUMBER(R7),(Рабочий!$E$17=1)),IF(AND(R7&gt;=Рабочий!$A$34,Рабочий!$E$34&gt;=R7),EXP(Рабочий!$G$8*POWER(LN(R7),5)+Рабочий!$G$9*POWER(LN(R7),4)+Рабочий!$G$10*POWER(LN(R7),3)+Рабочий!$G$11*POWER(LN(R7),2)+Рабочий!$G$12*LN(R7)+Рабочий!$G$13),IF(R7&lt;Рабочий!$A$34,"-",CONCATENATE("&gt;",Рабочий!$D$34))),"     ")</f>
        <v>     </v>
      </c>
      <c r="S19" s="33" t="str">
        <f>IF(AND(ISNUMBER(S7),(Рабочий!$E$17=1)),IF(AND(S7&gt;=Рабочий!$A$34,Рабочий!$E$34&gt;=S7),EXP(Рабочий!$G$8*POWER(LN(S7),5)+Рабочий!$G$9*POWER(LN(S7),4)+Рабочий!$G$10*POWER(LN(S7),3)+Рабочий!$G$11*POWER(LN(S7),2)+Рабочий!$G$12*LN(S7)+Рабочий!$G$13),IF(S7&lt;Рабочий!$A$34,"-",CONCATENATE("&gt;",Рабочий!$D$34))),"     ")</f>
        <v>     </v>
      </c>
      <c r="T19" s="33" t="str">
        <f>IF(AND(ISNUMBER(T7),(Рабочий!$E$17=1)),IF(AND(T7&gt;=Рабочий!$A$34,Рабочий!$E$34&gt;=T7),EXP(Рабочий!$G$8*POWER(LN(T7),5)+Рабочий!$G$9*POWER(LN(T7),4)+Рабочий!$G$10*POWER(LN(T7),3)+Рабочий!$G$11*POWER(LN(T7),2)+Рабочий!$G$12*LN(T7)+Рабочий!$G$13),IF(T7&lt;Рабочий!$A$34,"-",CONCATENATE("&gt;",Рабочий!$D$34))),"     ")</f>
        <v>     </v>
      </c>
    </row>
    <row r="20" spans="2:20" ht="13.5" thickBot="1">
      <c r="B20" s="9"/>
      <c r="C20" s="9"/>
      <c r="D20" s="9"/>
      <c r="E20" s="13"/>
      <c r="H20" s="11" t="s">
        <v>9</v>
      </c>
      <c r="I20" s="33" t="str">
        <f>IF(AND(ISNUMBER(I8),(Рабочий!$E$17=1)),IF(AND(I8&gt;=Рабочий!$A$34,Рабочий!$E$34&gt;=I8),EXP(Рабочий!$G$8*POWER(LN(I8),5)+Рабочий!$G$9*POWER(LN(I8),4)+Рабочий!$G$10*POWER(LN(I8),3)+Рабочий!$G$11*POWER(LN(I8),2)+Рабочий!$G$12*LN(I8)+Рабочий!$G$13),IF(I8&lt;Рабочий!$A$34,0,CONCATENATE("&gt;",Рабочий!$D$34))),"     ")</f>
        <v>     </v>
      </c>
      <c r="J20" s="33" t="str">
        <f>IF(AND(ISNUMBER(J8),(Рабочий!$E$17=1)),IF(AND(J8&gt;=Рабочий!$A$34,Рабочий!$E$34&gt;=J8),EXP(Рабочий!$G$8*POWER(LN(J8),5)+Рабочий!$G$9*POWER(LN(J8),4)+Рабочий!$G$10*POWER(LN(J8),3)+Рабочий!$G$11*POWER(LN(J8),2)+Рабочий!$G$12*LN(J8)+Рабочий!$G$13),IF(J8&lt;Рабочий!$A$34,0,CONCATENATE("&gt;",Рабочий!$D$34))),"     ")</f>
        <v>     </v>
      </c>
      <c r="K20" s="33" t="str">
        <f>IF(AND(ISNUMBER(K8),(Рабочий!$E$17=1)),IF(AND(K8&gt;=Рабочий!$A$34,Рабочий!$E$34&gt;=K8),EXP(Рабочий!$G$8*POWER(LN(K8),5)+Рабочий!$G$9*POWER(LN(K8),4)+Рабочий!$G$10*POWER(LN(K8),3)+Рабочий!$G$11*POWER(LN(K8),2)+Рабочий!$G$12*LN(K8)+Рабочий!$G$13),IF(K8&lt;Рабочий!$A$34,0,CONCATENATE("&gt;",Рабочий!$D$34))),"     ")</f>
        <v>     </v>
      </c>
      <c r="L20" s="33" t="str">
        <f>IF(AND(ISNUMBER(L8),(Рабочий!$E$17=1)),IF(AND(L8&gt;=Рабочий!$A$34,Рабочий!$E$34&gt;=L8),EXP(Рабочий!$G$8*POWER(LN(L8),5)+Рабочий!$G$9*POWER(LN(L8),4)+Рабочий!$G$10*POWER(LN(L8),3)+Рабочий!$G$11*POWER(LN(L8),2)+Рабочий!$G$12*LN(L8)+Рабочий!$G$13),IF(L8&lt;Рабочий!$A$34,0,CONCATENATE("&gt;",Рабочий!$D$34))),"     ")</f>
        <v>     </v>
      </c>
      <c r="M20" s="33" t="str">
        <f>IF(AND(ISNUMBER(M8),(Рабочий!$E$17=1)),IF(AND(M8&gt;=Рабочий!$A$34,Рабочий!$E$34&gt;=M8),EXP(Рабочий!$G$8*POWER(LN(M8),5)+Рабочий!$G$9*POWER(LN(M8),4)+Рабочий!$G$10*POWER(LN(M8),3)+Рабочий!$G$11*POWER(LN(M8),2)+Рабочий!$G$12*LN(M8)+Рабочий!$G$13),IF(M8&lt;Рабочий!$A$34,0,CONCATENATE("&gt;",Рабочий!$D$34))),"     ")</f>
        <v>     </v>
      </c>
      <c r="N20" s="33" t="str">
        <f>IF(AND(ISNUMBER(N8),(Рабочий!$E$17=1)),IF(AND(N8&gt;=Рабочий!$A$34,Рабочий!$E$34&gt;=N8),EXP(Рабочий!$G$8*POWER(LN(N8),5)+Рабочий!$G$9*POWER(LN(N8),4)+Рабочий!$G$10*POWER(LN(N8),3)+Рабочий!$G$11*POWER(LN(N8),2)+Рабочий!$G$12*LN(N8)+Рабочий!$G$13),IF(N8&lt;Рабочий!$A$34,"-",CONCATENATE("&gt;",Рабочий!$D$34))),"     ")</f>
        <v>     </v>
      </c>
      <c r="O20" s="33" t="str">
        <f>IF(AND(ISNUMBER(O8),(Рабочий!$E$17=1)),IF(AND(O8&gt;=Рабочий!$A$34,Рабочий!$E$34&gt;=O8),EXP(Рабочий!$G$8*POWER(LN(O8),5)+Рабочий!$G$9*POWER(LN(O8),4)+Рабочий!$G$10*POWER(LN(O8),3)+Рабочий!$G$11*POWER(LN(O8),2)+Рабочий!$G$12*LN(O8)+Рабочий!$G$13),IF(O8&lt;Рабочий!$A$34,"-",CONCATENATE("&gt;",Рабочий!$D$34))),"     ")</f>
        <v>     </v>
      </c>
      <c r="P20" s="33" t="str">
        <f>IF(AND(ISNUMBER(P8),(Рабочий!$E$17=1)),IF(AND(P8&gt;=Рабочий!$A$34,Рабочий!$E$34&gt;=P8),EXP(Рабочий!$G$8*POWER(LN(P8),5)+Рабочий!$G$9*POWER(LN(P8),4)+Рабочий!$G$10*POWER(LN(P8),3)+Рабочий!$G$11*POWER(LN(P8),2)+Рабочий!$G$12*LN(P8)+Рабочий!$G$13),IF(P8&lt;Рабочий!$A$34,"-",CONCATENATE("&gt;",Рабочий!$D$34))),"     ")</f>
        <v>     </v>
      </c>
      <c r="Q20" s="33" t="str">
        <f>IF(AND(ISNUMBER(Q8),(Рабочий!$E$17=1)),IF(AND(Q8&gt;=Рабочий!$A$34,Рабочий!$E$34&gt;=Q8),EXP(Рабочий!$G$8*POWER(LN(Q8),5)+Рабочий!$G$9*POWER(LN(Q8),4)+Рабочий!$G$10*POWER(LN(Q8),3)+Рабочий!$G$11*POWER(LN(Q8),2)+Рабочий!$G$12*LN(Q8)+Рабочий!$G$13),IF(Q8&lt;Рабочий!$A$34,"-",CONCATENATE("&gt;",Рабочий!$D$34))),"     ")</f>
        <v>     </v>
      </c>
      <c r="R20" s="33" t="str">
        <f>IF(AND(ISNUMBER(R8),(Рабочий!$E$17=1)),IF(AND(R8&gt;=Рабочий!$A$34,Рабочий!$E$34&gt;=R8),EXP(Рабочий!$G$8*POWER(LN(R8),5)+Рабочий!$G$9*POWER(LN(R8),4)+Рабочий!$G$10*POWER(LN(R8),3)+Рабочий!$G$11*POWER(LN(R8),2)+Рабочий!$G$12*LN(R8)+Рабочий!$G$13),IF(R8&lt;Рабочий!$A$34,"-",CONCATENATE("&gt;",Рабочий!$D$34))),"     ")</f>
        <v>     </v>
      </c>
      <c r="S20" s="33" t="str">
        <f>IF(AND(ISNUMBER(S8),(Рабочий!$E$17=1)),IF(AND(S8&gt;=Рабочий!$A$34,Рабочий!$E$34&gt;=S8),EXP(Рабочий!$G$8*POWER(LN(S8),5)+Рабочий!$G$9*POWER(LN(S8),4)+Рабочий!$G$10*POWER(LN(S8),3)+Рабочий!$G$11*POWER(LN(S8),2)+Рабочий!$G$12*LN(S8)+Рабочий!$G$13),IF(S8&lt;Рабочий!$A$34,"-",CONCATENATE("&gt;",Рабочий!$D$34))),"     ")</f>
        <v>     </v>
      </c>
      <c r="T20" s="33" t="str">
        <f>IF(AND(ISNUMBER(T8),(Рабочий!$E$17=1)),IF(AND(T8&gt;=Рабочий!$A$34,Рабочий!$E$34&gt;=T8),EXP(Рабочий!$G$8*POWER(LN(T8),5)+Рабочий!$G$9*POWER(LN(T8),4)+Рабочий!$G$10*POWER(LN(T8),3)+Рабочий!$G$11*POWER(LN(T8),2)+Рабочий!$G$12*LN(T8)+Рабочий!$G$13),IF(T8&lt;Рабочий!$A$34,"-",CONCATENATE("&gt;",Рабочий!$D$34))),"     ")</f>
        <v>     </v>
      </c>
    </row>
    <row r="21" spans="2:20" ht="12.75" customHeight="1" thickBot="1">
      <c r="B21" s="32"/>
      <c r="C21" s="32"/>
      <c r="D21" s="32"/>
      <c r="E21" s="32"/>
      <c r="H21" s="11" t="s">
        <v>10</v>
      </c>
      <c r="I21" s="33" t="str">
        <f>IF(AND(ISNUMBER(I9),(Рабочий!$E$17=1)),IF(AND(I9&gt;=Рабочий!$A$34,Рабочий!$E$34&gt;=I9),EXP(Рабочий!$G$8*POWER(LN(I9),5)+Рабочий!$G$9*POWER(LN(I9),4)+Рабочий!$G$10*POWER(LN(I9),3)+Рабочий!$G$11*POWER(LN(I9),2)+Рабочий!$G$12*LN(I9)+Рабочий!$G$13),IF(I9&lt;Рабочий!$A$34,0,CONCATENATE("&gt;",Рабочий!$D$34))),"     ")</f>
        <v>     </v>
      </c>
      <c r="J21" s="33" t="str">
        <f>IF(AND(ISNUMBER(J9),(Рабочий!$E$17=1)),IF(AND(J9&gt;=Рабочий!$A$34,Рабочий!$E$34&gt;=J9),EXP(Рабочий!$G$8*POWER(LN(J9),5)+Рабочий!$G$9*POWER(LN(J9),4)+Рабочий!$G$10*POWER(LN(J9),3)+Рабочий!$G$11*POWER(LN(J9),2)+Рабочий!$G$12*LN(J9)+Рабочий!$G$13),IF(J9&lt;Рабочий!$A$34,0,CONCATENATE("&gt;",Рабочий!$D$34))),"     ")</f>
        <v>     </v>
      </c>
      <c r="K21" s="33" t="str">
        <f>IF(AND(ISNUMBER(K9),(Рабочий!$E$17=1)),IF(AND(K9&gt;=Рабочий!$A$34,Рабочий!$E$34&gt;=K9),EXP(Рабочий!$G$8*POWER(LN(K9),5)+Рабочий!$G$9*POWER(LN(K9),4)+Рабочий!$G$10*POWER(LN(K9),3)+Рабочий!$G$11*POWER(LN(K9),2)+Рабочий!$G$12*LN(K9)+Рабочий!$G$13),IF(K9&lt;Рабочий!$A$34,0,CONCATENATE("&gt;",Рабочий!$D$34))),"     ")</f>
        <v>     </v>
      </c>
      <c r="L21" s="33" t="str">
        <f>IF(AND(ISNUMBER(L9),(Рабочий!$E$17=1)),IF(AND(L9&gt;=Рабочий!$A$34,Рабочий!$E$34&gt;=L9),EXP(Рабочий!$G$8*POWER(LN(L9),5)+Рабочий!$G$9*POWER(LN(L9),4)+Рабочий!$G$10*POWER(LN(L9),3)+Рабочий!$G$11*POWER(LN(L9),2)+Рабочий!$G$12*LN(L9)+Рабочий!$G$13),IF(L9&lt;Рабочий!$A$34,0,CONCATENATE("&gt;",Рабочий!$D$34))),"     ")</f>
        <v>     </v>
      </c>
      <c r="M21" s="33" t="str">
        <f>IF(AND(ISNUMBER(M9),(Рабочий!$E$17=1)),IF(AND(M9&gt;=Рабочий!$A$34,Рабочий!$E$34&gt;=M9),EXP(Рабочий!$G$8*POWER(LN(M9),5)+Рабочий!$G$9*POWER(LN(M9),4)+Рабочий!$G$10*POWER(LN(M9),3)+Рабочий!$G$11*POWER(LN(M9),2)+Рабочий!$G$12*LN(M9)+Рабочий!$G$13),IF(M9&lt;Рабочий!$A$34,0,CONCATENATE("&gt;",Рабочий!$D$34))),"     ")</f>
        <v>     </v>
      </c>
      <c r="N21" s="33" t="str">
        <f>IF(AND(ISNUMBER(N9),(Рабочий!$E$17=1)),IF(AND(N9&gt;=Рабочий!$A$34,Рабочий!$E$34&gt;=N9),EXP(Рабочий!$G$8*POWER(LN(N9),5)+Рабочий!$G$9*POWER(LN(N9),4)+Рабочий!$G$10*POWER(LN(N9),3)+Рабочий!$G$11*POWER(LN(N9),2)+Рабочий!$G$12*LN(N9)+Рабочий!$G$13),IF(N9&lt;Рабочий!$A$34,"-",CONCATENATE("&gt;",Рабочий!$D$34))),"     ")</f>
        <v>     </v>
      </c>
      <c r="O21" s="33" t="str">
        <f>IF(AND(ISNUMBER(O9),(Рабочий!$E$17=1)),IF(AND(O9&gt;=Рабочий!$A$34,Рабочий!$E$34&gt;=O9),EXP(Рабочий!$G$8*POWER(LN(O9),5)+Рабочий!$G$9*POWER(LN(O9),4)+Рабочий!$G$10*POWER(LN(O9),3)+Рабочий!$G$11*POWER(LN(O9),2)+Рабочий!$G$12*LN(O9)+Рабочий!$G$13),IF(O9&lt;Рабочий!$A$34,"-",CONCATENATE("&gt;",Рабочий!$D$34))),"     ")</f>
        <v>     </v>
      </c>
      <c r="P21" s="33" t="str">
        <f>IF(AND(ISNUMBER(P9),(Рабочий!$E$17=1)),IF(AND(P9&gt;=Рабочий!$A$34,Рабочий!$E$34&gt;=P9),EXP(Рабочий!$G$8*POWER(LN(P9),5)+Рабочий!$G$9*POWER(LN(P9),4)+Рабочий!$G$10*POWER(LN(P9),3)+Рабочий!$G$11*POWER(LN(P9),2)+Рабочий!$G$12*LN(P9)+Рабочий!$G$13),IF(P9&lt;Рабочий!$A$34,"-",CONCATENATE("&gt;",Рабочий!$D$34))),"     ")</f>
        <v>     </v>
      </c>
      <c r="Q21" s="33" t="str">
        <f>IF(AND(ISNUMBER(Q9),(Рабочий!$E$17=1)),IF(AND(Q9&gt;=Рабочий!$A$34,Рабочий!$E$34&gt;=Q9),EXP(Рабочий!$G$8*POWER(LN(Q9),5)+Рабочий!$G$9*POWER(LN(Q9),4)+Рабочий!$G$10*POWER(LN(Q9),3)+Рабочий!$G$11*POWER(LN(Q9),2)+Рабочий!$G$12*LN(Q9)+Рабочий!$G$13),IF(Q9&lt;Рабочий!$A$34,"-",CONCATENATE("&gt;",Рабочий!$D$34))),"     ")</f>
        <v>     </v>
      </c>
      <c r="R21" s="33" t="str">
        <f>IF(AND(ISNUMBER(R9),(Рабочий!$E$17=1)),IF(AND(R9&gt;=Рабочий!$A$34,Рабочий!$E$34&gt;=R9),EXP(Рабочий!$G$8*POWER(LN(R9),5)+Рабочий!$G$9*POWER(LN(R9),4)+Рабочий!$G$10*POWER(LN(R9),3)+Рабочий!$G$11*POWER(LN(R9),2)+Рабочий!$G$12*LN(R9)+Рабочий!$G$13),IF(R9&lt;Рабочий!$A$34,"-",CONCATENATE("&gt;",Рабочий!$D$34))),"     ")</f>
        <v>     </v>
      </c>
      <c r="S21" s="33" t="str">
        <f>IF(AND(ISNUMBER(S9),(Рабочий!$E$17=1)),IF(AND(S9&gt;=Рабочий!$A$34,Рабочий!$E$34&gt;=S9),EXP(Рабочий!$G$8*POWER(LN(S9),5)+Рабочий!$G$9*POWER(LN(S9),4)+Рабочий!$G$10*POWER(LN(S9),3)+Рабочий!$G$11*POWER(LN(S9),2)+Рабочий!$G$12*LN(S9)+Рабочий!$G$13),IF(S9&lt;Рабочий!$A$34,"-",CONCATENATE("&gt;",Рабочий!$D$34))),"     ")</f>
        <v>     </v>
      </c>
      <c r="T21" s="33" t="str">
        <f>IF(AND(ISNUMBER(T9),(Рабочий!$E$17=1)),IF(AND(T9&gt;=Рабочий!$A$34,Рабочий!$E$34&gt;=T9),EXP(Рабочий!$G$8*POWER(LN(T9),5)+Рабочий!$G$9*POWER(LN(T9),4)+Рабочий!$G$10*POWER(LN(T9),3)+Рабочий!$G$11*POWER(LN(T9),2)+Рабочий!$G$12*LN(T9)+Рабочий!$G$13),IF(T9&lt;Рабочий!$A$34,"-",CONCATENATE("&gt;",Рабочий!$D$34))),"     ")</f>
        <v>     </v>
      </c>
    </row>
    <row r="22" spans="2:20" ht="13.5" thickBot="1">
      <c r="B22" s="32"/>
      <c r="C22" s="32"/>
      <c r="D22" s="32"/>
      <c r="E22" s="32"/>
      <c r="H22" s="11" t="s">
        <v>11</v>
      </c>
      <c r="I22" s="33" t="str">
        <f>IF(AND(ISNUMBER(I10),(Рабочий!$E$17=1)),IF(AND(I10&gt;=Рабочий!$A$34,Рабочий!$E$34&gt;=I10),EXP(Рабочий!$G$8*POWER(LN(I10),5)+Рабочий!$G$9*POWER(LN(I10),4)+Рабочий!$G$10*POWER(LN(I10),3)+Рабочий!$G$11*POWER(LN(I10),2)+Рабочий!$G$12*LN(I10)+Рабочий!$G$13),IF(I10&lt;Рабочий!$A$34,0,CONCATENATE("&gt;",Рабочий!$D$34))),"     ")</f>
        <v>     </v>
      </c>
      <c r="J22" s="33" t="str">
        <f>IF(AND(ISNUMBER(J10),(Рабочий!$E$17=1)),IF(AND(J10&gt;=Рабочий!$A$34,Рабочий!$E$34&gt;=J10),EXP(Рабочий!$G$8*POWER(LN(J10),5)+Рабочий!$G$9*POWER(LN(J10),4)+Рабочий!$G$10*POWER(LN(J10),3)+Рабочий!$G$11*POWER(LN(J10),2)+Рабочий!$G$12*LN(J10)+Рабочий!$G$13),IF(J10&lt;Рабочий!$A$34,0,CONCATENATE("&gt;",Рабочий!$D$34))),"     ")</f>
        <v>     </v>
      </c>
      <c r="K22" s="33" t="str">
        <f>IF(AND(ISNUMBER(K10),(Рабочий!$E$17=1)),IF(AND(K10&gt;=Рабочий!$A$34,Рабочий!$E$34&gt;=K10),EXP(Рабочий!$G$8*POWER(LN(K10),5)+Рабочий!$G$9*POWER(LN(K10),4)+Рабочий!$G$10*POWER(LN(K10),3)+Рабочий!$G$11*POWER(LN(K10),2)+Рабочий!$G$12*LN(K10)+Рабочий!$G$13),IF(K10&lt;Рабочий!$A$34,0,CONCATENATE("&gt;",Рабочий!$D$34))),"     ")</f>
        <v>     </v>
      </c>
      <c r="L22" s="33" t="str">
        <f>IF(AND(ISNUMBER(L10),(Рабочий!$E$17=1)),IF(AND(L10&gt;=Рабочий!$A$34,Рабочий!$E$34&gt;=L10),EXP(Рабочий!$G$8*POWER(LN(L10),5)+Рабочий!$G$9*POWER(LN(L10),4)+Рабочий!$G$10*POWER(LN(L10),3)+Рабочий!$G$11*POWER(LN(L10),2)+Рабочий!$G$12*LN(L10)+Рабочий!$G$13),IF(L10&lt;Рабочий!$A$34,0,CONCATENATE("&gt;",Рабочий!$D$34))),"     ")</f>
        <v>     </v>
      </c>
      <c r="M22" s="33" t="str">
        <f>IF(AND(ISNUMBER(M10),(Рабочий!$E$17=1)),IF(AND(M10&gt;=Рабочий!$A$34,Рабочий!$E$34&gt;=M10),EXP(Рабочий!$G$8*POWER(LN(M10),5)+Рабочий!$G$9*POWER(LN(M10),4)+Рабочий!$G$10*POWER(LN(M10),3)+Рабочий!$G$11*POWER(LN(M10),2)+Рабочий!$G$12*LN(M10)+Рабочий!$G$13),IF(M10&lt;Рабочий!$A$34,0,CONCATENATE("&gt;",Рабочий!$D$34))),"     ")</f>
        <v>     </v>
      </c>
      <c r="N22" s="33" t="str">
        <f>IF(AND(ISNUMBER(N10),(Рабочий!$E$17=1)),IF(AND(N10&gt;=Рабочий!$A$34,Рабочий!$E$34&gt;=N10),EXP(Рабочий!$G$8*POWER(LN(N10),5)+Рабочий!$G$9*POWER(LN(N10),4)+Рабочий!$G$10*POWER(LN(N10),3)+Рабочий!$G$11*POWER(LN(N10),2)+Рабочий!$G$12*LN(N10)+Рабочий!$G$13),IF(N10&lt;Рабочий!$A$34,"-",CONCATENATE("&gt;",Рабочий!$D$34))),"     ")</f>
        <v>     </v>
      </c>
      <c r="O22" s="33" t="str">
        <f>IF(AND(ISNUMBER(O10),(Рабочий!$E$17=1)),IF(AND(O10&gt;=Рабочий!$A$34,Рабочий!$E$34&gt;=O10),EXP(Рабочий!$G$8*POWER(LN(O10),5)+Рабочий!$G$9*POWER(LN(O10),4)+Рабочий!$G$10*POWER(LN(O10),3)+Рабочий!$G$11*POWER(LN(O10),2)+Рабочий!$G$12*LN(O10)+Рабочий!$G$13),IF(O10&lt;Рабочий!$A$34,"-",CONCATENATE("&gt;",Рабочий!$D$34))),"     ")</f>
        <v>     </v>
      </c>
      <c r="P22" s="33" t="str">
        <f>IF(AND(ISNUMBER(P10),(Рабочий!$E$17=1)),IF(AND(P10&gt;=Рабочий!$A$34,Рабочий!$E$34&gt;=P10),EXP(Рабочий!$G$8*POWER(LN(P10),5)+Рабочий!$G$9*POWER(LN(P10),4)+Рабочий!$G$10*POWER(LN(P10),3)+Рабочий!$G$11*POWER(LN(P10),2)+Рабочий!$G$12*LN(P10)+Рабочий!$G$13),IF(P10&lt;Рабочий!$A$34,"-",CONCATENATE("&gt;",Рабочий!$D$34))),"     ")</f>
        <v>     </v>
      </c>
      <c r="Q22" s="33" t="str">
        <f>IF(AND(ISNUMBER(Q10),(Рабочий!$E$17=1)),IF(AND(Q10&gt;=Рабочий!$A$34,Рабочий!$E$34&gt;=Q10),EXP(Рабочий!$G$8*POWER(LN(Q10),5)+Рабочий!$G$9*POWER(LN(Q10),4)+Рабочий!$G$10*POWER(LN(Q10),3)+Рабочий!$G$11*POWER(LN(Q10),2)+Рабочий!$G$12*LN(Q10)+Рабочий!$G$13),IF(Q10&lt;Рабочий!$A$34,"-",CONCATENATE("&gt;",Рабочий!$D$34))),"     ")</f>
        <v>     </v>
      </c>
      <c r="R22" s="33" t="str">
        <f>IF(AND(ISNUMBER(R10),(Рабочий!$E$17=1)),IF(AND(R10&gt;=Рабочий!$A$34,Рабочий!$E$34&gt;=R10),EXP(Рабочий!$G$8*POWER(LN(R10),5)+Рабочий!$G$9*POWER(LN(R10),4)+Рабочий!$G$10*POWER(LN(R10),3)+Рабочий!$G$11*POWER(LN(R10),2)+Рабочий!$G$12*LN(R10)+Рабочий!$G$13),IF(R10&lt;Рабочий!$A$34,"-",CONCATENATE("&gt;",Рабочий!$D$34))),"     ")</f>
        <v>     </v>
      </c>
      <c r="S22" s="33" t="str">
        <f>IF(AND(ISNUMBER(S10),(Рабочий!$E$17=1)),IF(AND(S10&gt;=Рабочий!$A$34,Рабочий!$E$34&gt;=S10),EXP(Рабочий!$G$8*POWER(LN(S10),5)+Рабочий!$G$9*POWER(LN(S10),4)+Рабочий!$G$10*POWER(LN(S10),3)+Рабочий!$G$11*POWER(LN(S10),2)+Рабочий!$G$12*LN(S10)+Рабочий!$G$13),IF(S10&lt;Рабочий!$A$34,"-",CONCATENATE("&gt;",Рабочий!$D$34))),"     ")</f>
        <v>     </v>
      </c>
      <c r="T22" s="33" t="str">
        <f>IF(AND(ISNUMBER(T10),(Рабочий!$E$17=1)),IF(AND(T10&gt;=Рабочий!$A$34,Рабочий!$E$34&gt;=T10),EXP(Рабочий!$G$8*POWER(LN(T10),5)+Рабочий!$G$9*POWER(LN(T10),4)+Рабочий!$G$10*POWER(LN(T10),3)+Рабочий!$G$11*POWER(LN(T10),2)+Рабочий!$G$12*LN(T10)+Рабочий!$G$13),IF(T10&lt;Рабочий!$A$34,"-",CONCATENATE("&gt;",Рабочий!$D$34))),"     ")</f>
        <v>     </v>
      </c>
    </row>
    <row r="23" spans="2:20" ht="13.5" thickBot="1">
      <c r="B23" s="32"/>
      <c r="C23" s="32"/>
      <c r="D23" s="32"/>
      <c r="E23" s="32"/>
      <c r="H23" s="11" t="s">
        <v>12</v>
      </c>
      <c r="I23" s="33" t="str">
        <f>IF(AND(ISNUMBER(I11),(Рабочий!$E$17=1)),IF(AND(I11&gt;=Рабочий!$A$34,Рабочий!$E$34&gt;=I11),EXP(Рабочий!$G$8*POWER(LN(I11),5)+Рабочий!$G$9*POWER(LN(I11),4)+Рабочий!$G$10*POWER(LN(I11),3)+Рабочий!$G$11*POWER(LN(I11),2)+Рабочий!$G$12*LN(I11)+Рабочий!$G$13),IF(I11&lt;Рабочий!$A$34,0,CONCATENATE("&gt;",Рабочий!$D$34))),"     ")</f>
        <v>     </v>
      </c>
      <c r="J23" s="33" t="str">
        <f>IF(AND(ISNUMBER(J11),(Рабочий!$E$17=1)),IF(AND(J11&gt;=Рабочий!$A$34,Рабочий!$E$34&gt;=J11),EXP(Рабочий!$G$8*POWER(LN(J11),5)+Рабочий!$G$9*POWER(LN(J11),4)+Рабочий!$G$10*POWER(LN(J11),3)+Рабочий!$G$11*POWER(LN(J11),2)+Рабочий!$G$12*LN(J11)+Рабочий!$G$13),IF(J11&lt;Рабочий!$A$34,0,CONCATENATE("&gt;",Рабочий!$D$34))),"     ")</f>
        <v>     </v>
      </c>
      <c r="K23" s="33" t="str">
        <f>IF(AND(ISNUMBER(K11),(Рабочий!$E$17=1)),IF(AND(K11&gt;=Рабочий!$A$34,Рабочий!$E$34&gt;=K11),EXP(Рабочий!$G$8*POWER(LN(K11),5)+Рабочий!$G$9*POWER(LN(K11),4)+Рабочий!$G$10*POWER(LN(K11),3)+Рабочий!$G$11*POWER(LN(K11),2)+Рабочий!$G$12*LN(K11)+Рабочий!$G$13),IF(K11&lt;Рабочий!$A$34,0,CONCATENATE("&gt;",Рабочий!$D$34))),"     ")</f>
        <v>     </v>
      </c>
      <c r="L23" s="33" t="str">
        <f>IF(AND(ISNUMBER(L11),(Рабочий!$E$17=1)),IF(AND(L11&gt;=Рабочий!$A$34,Рабочий!$E$34&gt;=L11),EXP(Рабочий!$G$8*POWER(LN(L11),5)+Рабочий!$G$9*POWER(LN(L11),4)+Рабочий!$G$10*POWER(LN(L11),3)+Рабочий!$G$11*POWER(LN(L11),2)+Рабочий!$G$12*LN(L11)+Рабочий!$G$13),IF(L11&lt;Рабочий!$A$34,0,CONCATENATE("&gt;",Рабочий!$D$34))),"     ")</f>
        <v>     </v>
      </c>
      <c r="M23" s="33" t="str">
        <f>IF(AND(ISNUMBER(M11),(Рабочий!$E$17=1)),IF(AND(M11&gt;=Рабочий!$A$34,Рабочий!$E$34&gt;=M11),EXP(Рабочий!$G$8*POWER(LN(M11),5)+Рабочий!$G$9*POWER(LN(M11),4)+Рабочий!$G$10*POWER(LN(M11),3)+Рабочий!$G$11*POWER(LN(M11),2)+Рабочий!$G$12*LN(M11)+Рабочий!$G$13),IF(M11&lt;Рабочий!$A$34,0,CONCATENATE("&gt;",Рабочий!$D$34))),"     ")</f>
        <v>     </v>
      </c>
      <c r="N23" s="33" t="str">
        <f>IF(AND(ISNUMBER(N11),(Рабочий!$E$17=1)),IF(AND(N11&gt;=Рабочий!$A$34,Рабочий!$E$34&gt;=N11),EXP(Рабочий!$G$8*POWER(LN(N11),5)+Рабочий!$G$9*POWER(LN(N11),4)+Рабочий!$G$10*POWER(LN(N11),3)+Рабочий!$G$11*POWER(LN(N11),2)+Рабочий!$G$12*LN(N11)+Рабочий!$G$13),IF(N11&lt;Рабочий!$A$34,"-",CONCATENATE("&gt;",Рабочий!$D$34))),"     ")</f>
        <v>     </v>
      </c>
      <c r="O23" s="33" t="str">
        <f>IF(AND(ISNUMBER(O11),(Рабочий!$E$17=1)),IF(AND(O11&gt;=Рабочий!$A$34,Рабочий!$E$34&gt;=O11),EXP(Рабочий!$G$8*POWER(LN(O11),5)+Рабочий!$G$9*POWER(LN(O11),4)+Рабочий!$G$10*POWER(LN(O11),3)+Рабочий!$G$11*POWER(LN(O11),2)+Рабочий!$G$12*LN(O11)+Рабочий!$G$13),IF(O11&lt;Рабочий!$A$34,"-",CONCATENATE("&gt;",Рабочий!$D$34))),"     ")</f>
        <v>     </v>
      </c>
      <c r="P23" s="33" t="str">
        <f>IF(AND(ISNUMBER(P11),(Рабочий!$E$17=1)),IF(AND(P11&gt;=Рабочий!$A$34,Рабочий!$E$34&gt;=P11),EXP(Рабочий!$G$8*POWER(LN(P11),5)+Рабочий!$G$9*POWER(LN(P11),4)+Рабочий!$G$10*POWER(LN(P11),3)+Рабочий!$G$11*POWER(LN(P11),2)+Рабочий!$G$12*LN(P11)+Рабочий!$G$13),IF(P11&lt;Рабочий!$A$34,"-",CONCATENATE("&gt;",Рабочий!$D$34))),"     ")</f>
        <v>     </v>
      </c>
      <c r="Q23" s="33" t="str">
        <f>IF(AND(ISNUMBER(Q11),(Рабочий!$E$17=1)),IF(AND(Q11&gt;=Рабочий!$A$34,Рабочий!$E$34&gt;=Q11),EXP(Рабочий!$G$8*POWER(LN(Q11),5)+Рабочий!$G$9*POWER(LN(Q11),4)+Рабочий!$G$10*POWER(LN(Q11),3)+Рабочий!$G$11*POWER(LN(Q11),2)+Рабочий!$G$12*LN(Q11)+Рабочий!$G$13),IF(Q11&lt;Рабочий!$A$34,"-",CONCATENATE("&gt;",Рабочий!$D$34))),"     ")</f>
        <v>     </v>
      </c>
      <c r="R23" s="33" t="str">
        <f>IF(AND(ISNUMBER(R11),(Рабочий!$E$17=1)),IF(AND(R11&gt;=Рабочий!$A$34,Рабочий!$E$34&gt;=R11),EXP(Рабочий!$G$8*POWER(LN(R11),5)+Рабочий!$G$9*POWER(LN(R11),4)+Рабочий!$G$10*POWER(LN(R11),3)+Рабочий!$G$11*POWER(LN(R11),2)+Рабочий!$G$12*LN(R11)+Рабочий!$G$13),IF(R11&lt;Рабочий!$A$34,"-",CONCATENATE("&gt;",Рабочий!$D$34))),"     ")</f>
        <v>     </v>
      </c>
      <c r="S23" s="33" t="str">
        <f>IF(AND(ISNUMBER(S11),(Рабочий!$E$17=1)),IF(AND(S11&gt;=Рабочий!$A$34,Рабочий!$E$34&gt;=S11),EXP(Рабочий!$G$8*POWER(LN(S11),5)+Рабочий!$G$9*POWER(LN(S11),4)+Рабочий!$G$10*POWER(LN(S11),3)+Рабочий!$G$11*POWER(LN(S11),2)+Рабочий!$G$12*LN(S11)+Рабочий!$G$13),IF(S11&lt;Рабочий!$A$34,"-",CONCATENATE("&gt;",Рабочий!$D$34))),"     ")</f>
        <v>     </v>
      </c>
      <c r="T23" s="33" t="str">
        <f>IF(AND(ISNUMBER(T11),(Рабочий!$E$17=1)),IF(AND(T11&gt;=Рабочий!$A$34,Рабочий!$E$34&gt;=T11),EXP(Рабочий!$G$8*POWER(LN(T11),5)+Рабочий!$G$9*POWER(LN(T11),4)+Рабочий!$G$10*POWER(LN(T11),3)+Рабочий!$G$11*POWER(LN(T11),2)+Рабочий!$G$12*LN(T11)+Рабочий!$G$13),IF(T11&lt;Рабочий!$A$34,"-",CONCATENATE("&gt;",Рабочий!$D$34))),"     ")</f>
        <v>     </v>
      </c>
    </row>
    <row r="24" spans="6:20" ht="12.75" customHeight="1" thickBot="1">
      <c r="F24" s="14"/>
      <c r="H24" s="11" t="s">
        <v>13</v>
      </c>
      <c r="I24" s="33" t="str">
        <f>IF(AND(ISNUMBER(I12),(Рабочий!$E$17=1)),IF(AND(I12&gt;=Рабочий!$A$34,Рабочий!$E$34&gt;=I12),EXP(Рабочий!$G$8*POWER(LN(I12),5)+Рабочий!$G$9*POWER(LN(I12),4)+Рабочий!$G$10*POWER(LN(I12),3)+Рабочий!$G$11*POWER(LN(I12),2)+Рабочий!$G$12*LN(I12)+Рабочий!$G$13),IF(I12&lt;Рабочий!$A$34,0,CONCATENATE("&gt;",Рабочий!$D$34))),"     ")</f>
        <v>     </v>
      </c>
      <c r="J24" s="33" t="str">
        <f>IF(AND(ISNUMBER(J12),(Рабочий!$E$17=1)),IF(AND(J12&gt;=Рабочий!$A$34,Рабочий!$E$34&gt;=J12),EXP(Рабочий!$G$8*POWER(LN(J12),5)+Рабочий!$G$9*POWER(LN(J12),4)+Рабочий!$G$10*POWER(LN(J12),3)+Рабочий!$G$11*POWER(LN(J12),2)+Рабочий!$G$12*LN(J12)+Рабочий!$G$13),IF(J12&lt;Рабочий!$A$34,0,CONCATENATE("&gt;",Рабочий!$D$34))),"     ")</f>
        <v>     </v>
      </c>
      <c r="K24" s="33" t="str">
        <f>IF(AND(ISNUMBER(K12),(Рабочий!$E$17=1)),IF(AND(K12&gt;=Рабочий!$A$34,Рабочий!$E$34&gt;=K12),EXP(Рабочий!$G$8*POWER(LN(K12),5)+Рабочий!$G$9*POWER(LN(K12),4)+Рабочий!$G$10*POWER(LN(K12),3)+Рабочий!$G$11*POWER(LN(K12),2)+Рабочий!$G$12*LN(K12)+Рабочий!$G$13),IF(K12&lt;Рабочий!$A$34,0,CONCATENATE("&gt;",Рабочий!$D$34))),"     ")</f>
        <v>     </v>
      </c>
      <c r="L24" s="33" t="str">
        <f>IF(AND(ISNUMBER(L12),(Рабочий!$E$17=1)),IF(AND(L12&gt;=Рабочий!$A$34,Рабочий!$E$34&gt;=L12),EXP(Рабочий!$G$8*POWER(LN(L12),5)+Рабочий!$G$9*POWER(LN(L12),4)+Рабочий!$G$10*POWER(LN(L12),3)+Рабочий!$G$11*POWER(LN(L12),2)+Рабочий!$G$12*LN(L12)+Рабочий!$G$13),IF(L12&lt;Рабочий!$A$34,0,CONCATENATE("&gt;",Рабочий!$D$34))),"     ")</f>
        <v>     </v>
      </c>
      <c r="M24" s="33" t="str">
        <f>IF(AND(ISNUMBER(M12),(Рабочий!$E$17=1)),IF(AND(M12&gt;=Рабочий!$A$34,Рабочий!$E$34&gt;=M12),EXP(Рабочий!$G$8*POWER(LN(M12),5)+Рабочий!$G$9*POWER(LN(M12),4)+Рабочий!$G$10*POWER(LN(M12),3)+Рабочий!$G$11*POWER(LN(M12),2)+Рабочий!$G$12*LN(M12)+Рабочий!$G$13),IF(M12&lt;Рабочий!$A$34,0,CONCATENATE("&gt;",Рабочий!$D$34))),"     ")</f>
        <v>     </v>
      </c>
      <c r="N24" s="33" t="str">
        <f>IF(AND(ISNUMBER(N12),(Рабочий!$E$17=1)),IF(AND(N12&gt;=Рабочий!$A$34,Рабочий!$E$34&gt;=N12),EXP(Рабочий!$G$8*POWER(LN(N12),5)+Рабочий!$G$9*POWER(LN(N12),4)+Рабочий!$G$10*POWER(LN(N12),3)+Рабочий!$G$11*POWER(LN(N12),2)+Рабочий!$G$12*LN(N12)+Рабочий!$G$13),IF(N12&lt;Рабочий!$A$34,"-",CONCATENATE("&gt;",Рабочий!$D$34))),"     ")</f>
        <v>     </v>
      </c>
      <c r="O24" s="33" t="str">
        <f>IF(AND(ISNUMBER(O12),(Рабочий!$E$17=1)),IF(AND(O12&gt;=Рабочий!$A$34,Рабочий!$E$34&gt;=O12),EXP(Рабочий!$G$8*POWER(LN(O12),5)+Рабочий!$G$9*POWER(LN(O12),4)+Рабочий!$G$10*POWER(LN(O12),3)+Рабочий!$G$11*POWER(LN(O12),2)+Рабочий!$G$12*LN(O12)+Рабочий!$G$13),IF(O12&lt;Рабочий!$A$34,"-",CONCATENATE("&gt;",Рабочий!$D$34))),"     ")</f>
        <v>     </v>
      </c>
      <c r="P24" s="33" t="str">
        <f>IF(AND(ISNUMBER(P12),(Рабочий!$E$17=1)),IF(AND(P12&gt;=Рабочий!$A$34,Рабочий!$E$34&gt;=P12),EXP(Рабочий!$G$8*POWER(LN(P12),5)+Рабочий!$G$9*POWER(LN(P12),4)+Рабочий!$G$10*POWER(LN(P12),3)+Рабочий!$G$11*POWER(LN(P12),2)+Рабочий!$G$12*LN(P12)+Рабочий!$G$13),IF(P12&lt;Рабочий!$A$34,"-",CONCATENATE("&gt;",Рабочий!$D$34))),"     ")</f>
        <v>     </v>
      </c>
      <c r="Q24" s="33" t="str">
        <f>IF(AND(ISNUMBER(Q12),(Рабочий!$E$17=1)),IF(AND(Q12&gt;=Рабочий!$A$34,Рабочий!$E$34&gt;=Q12),EXP(Рабочий!$G$8*POWER(LN(Q12),5)+Рабочий!$G$9*POWER(LN(Q12),4)+Рабочий!$G$10*POWER(LN(Q12),3)+Рабочий!$G$11*POWER(LN(Q12),2)+Рабочий!$G$12*LN(Q12)+Рабочий!$G$13),IF(Q12&lt;Рабочий!$A$34,"-",CONCATENATE("&gt;",Рабочий!$D$34))),"     ")</f>
        <v>     </v>
      </c>
      <c r="R24" s="33" t="str">
        <f>IF(AND(ISNUMBER(R12),(Рабочий!$E$17=1)),IF(AND(R12&gt;=Рабочий!$A$34,Рабочий!$E$34&gt;=R12),EXP(Рабочий!$G$8*POWER(LN(R12),5)+Рабочий!$G$9*POWER(LN(R12),4)+Рабочий!$G$10*POWER(LN(R12),3)+Рабочий!$G$11*POWER(LN(R12),2)+Рабочий!$G$12*LN(R12)+Рабочий!$G$13),IF(R12&lt;Рабочий!$A$34,"-",CONCATENATE("&gt;",Рабочий!$D$34))),"     ")</f>
        <v>     </v>
      </c>
      <c r="S24" s="33" t="str">
        <f>IF(AND(ISNUMBER(S12),(Рабочий!$E$17=1)),IF(AND(S12&gt;=Рабочий!$A$34,Рабочий!$E$34&gt;=S12),EXP(Рабочий!$G$8*POWER(LN(S12),5)+Рабочий!$G$9*POWER(LN(S12),4)+Рабочий!$G$10*POWER(LN(S12),3)+Рабочий!$G$11*POWER(LN(S12),2)+Рабочий!$G$12*LN(S12)+Рабочий!$G$13),IF(S12&lt;Рабочий!$A$34,"-",CONCATENATE("&gt;",Рабочий!$D$34))),"     ")</f>
        <v>     </v>
      </c>
      <c r="T24" s="33" t="str">
        <f>IF(AND(ISNUMBER(T12),(Рабочий!$E$17=1)),IF(AND(T12&gt;=Рабочий!$A$34,Рабочий!$E$34&gt;=T12),EXP(Рабочий!$G$8*POWER(LN(T12),5)+Рабочий!$G$9*POWER(LN(T12),4)+Рабочий!$G$10*POWER(LN(T12),3)+Рабочий!$G$11*POWER(LN(T12),2)+Рабочий!$G$12*LN(T12)+Рабочий!$G$13),IF(T12&lt;Рабочий!$A$34,"-",CONCATENATE("&gt;",Рабочий!$D$34))),"     ")</f>
        <v>     </v>
      </c>
    </row>
    <row r="25" spans="8:20" ht="13.5" thickBot="1">
      <c r="H25" s="11" t="s">
        <v>14</v>
      </c>
      <c r="I25" s="33" t="str">
        <f>IF(AND(ISNUMBER(I13),(Рабочий!$E$17=1)),IF(AND(I13&gt;=Рабочий!$A$34,Рабочий!$E$34&gt;=I13),EXP(Рабочий!$G$8*POWER(LN(I13),5)+Рабочий!$G$9*POWER(LN(I13),4)+Рабочий!$G$10*POWER(LN(I13),3)+Рабочий!$G$11*POWER(LN(I13),2)+Рабочий!$G$12*LN(I13)+Рабочий!$G$13),IF(I13&lt;Рабочий!$A$34,0,CONCATENATE("&gt;",Рабочий!$D$34))),"     ")</f>
        <v>     </v>
      </c>
      <c r="J25" s="33" t="str">
        <f>IF(AND(ISNUMBER(J13),(Рабочий!$E$17=1)),IF(AND(J13&gt;=Рабочий!$A$34,Рабочий!$E$34&gt;=J13),EXP(Рабочий!$G$8*POWER(LN(J13),5)+Рабочий!$G$9*POWER(LN(J13),4)+Рабочий!$G$10*POWER(LN(J13),3)+Рабочий!$G$11*POWER(LN(J13),2)+Рабочий!$G$12*LN(J13)+Рабочий!$G$13),IF(J13&lt;Рабочий!$A$34,0,CONCATENATE("&gt;",Рабочий!$D$34))),"     ")</f>
        <v>     </v>
      </c>
      <c r="K25" s="33" t="str">
        <f>IF(AND(ISNUMBER(K13),(Рабочий!$E$17=1)),IF(AND(K13&gt;=Рабочий!$A$34,Рабочий!$E$34&gt;=K13),EXP(Рабочий!$G$8*POWER(LN(K13),5)+Рабочий!$G$9*POWER(LN(K13),4)+Рабочий!$G$10*POWER(LN(K13),3)+Рабочий!$G$11*POWER(LN(K13),2)+Рабочий!$G$12*LN(K13)+Рабочий!$G$13),IF(K13&lt;Рабочий!$A$34,0,CONCATENATE("&gt;",Рабочий!$D$34))),"     ")</f>
        <v>     </v>
      </c>
      <c r="L25" s="33" t="str">
        <f>IF(AND(ISNUMBER(L13),(Рабочий!$E$17=1)),IF(AND(L13&gt;=Рабочий!$A$34,Рабочий!$E$34&gt;=L13),EXP(Рабочий!$G$8*POWER(LN(L13),5)+Рабочий!$G$9*POWER(LN(L13),4)+Рабочий!$G$10*POWER(LN(L13),3)+Рабочий!$G$11*POWER(LN(L13),2)+Рабочий!$G$12*LN(L13)+Рабочий!$G$13),IF(L13&lt;Рабочий!$A$34,0,CONCATENATE("&gt;",Рабочий!$D$34))),"     ")</f>
        <v>     </v>
      </c>
      <c r="M25" s="33" t="str">
        <f>IF(AND(ISNUMBER(M13),(Рабочий!$E$17=1)),IF(AND(M13&gt;=Рабочий!$A$34,Рабочий!$E$34&gt;=M13),EXP(Рабочий!$G$8*POWER(LN(M13),5)+Рабочий!$G$9*POWER(LN(M13),4)+Рабочий!$G$10*POWER(LN(M13),3)+Рабочий!$G$11*POWER(LN(M13),2)+Рабочий!$G$12*LN(M13)+Рабочий!$G$13),IF(M13&lt;Рабочий!$A$34,0,CONCATENATE("&gt;",Рабочий!$D$34))),"     ")</f>
        <v>     </v>
      </c>
      <c r="N25" s="33" t="str">
        <f>IF(AND(ISNUMBER(N13),(Рабочий!$E$17=1)),IF(AND(N13&gt;=Рабочий!$A$34,Рабочий!$E$34&gt;=N13),EXP(Рабочий!$G$8*POWER(LN(N13),5)+Рабочий!$G$9*POWER(LN(N13),4)+Рабочий!$G$10*POWER(LN(N13),3)+Рабочий!$G$11*POWER(LN(N13),2)+Рабочий!$G$12*LN(N13)+Рабочий!$G$13),IF(N13&lt;Рабочий!$A$34,"-",CONCATENATE("&gt;",Рабочий!$D$34))),"     ")</f>
        <v>     </v>
      </c>
      <c r="O25" s="33" t="str">
        <f>IF(AND(ISNUMBER(O13),(Рабочий!$E$17=1)),IF(AND(O13&gt;=Рабочий!$A$34,Рабочий!$E$34&gt;=O13),EXP(Рабочий!$G$8*POWER(LN(O13),5)+Рабочий!$G$9*POWER(LN(O13),4)+Рабочий!$G$10*POWER(LN(O13),3)+Рабочий!$G$11*POWER(LN(O13),2)+Рабочий!$G$12*LN(O13)+Рабочий!$G$13),IF(O13&lt;Рабочий!$A$34,"-",CONCATENATE("&gt;",Рабочий!$D$34))),"     ")</f>
        <v>     </v>
      </c>
      <c r="P25" s="33" t="str">
        <f>IF(AND(ISNUMBER(P13),(Рабочий!$E$17=1)),IF(AND(P13&gt;=Рабочий!$A$34,Рабочий!$E$34&gt;=P13),EXP(Рабочий!$G$8*POWER(LN(P13),5)+Рабочий!$G$9*POWER(LN(P13),4)+Рабочий!$G$10*POWER(LN(P13),3)+Рабочий!$G$11*POWER(LN(P13),2)+Рабочий!$G$12*LN(P13)+Рабочий!$G$13),IF(P13&lt;Рабочий!$A$34,"-",CONCATENATE("&gt;",Рабочий!$D$34))),"     ")</f>
        <v>     </v>
      </c>
      <c r="Q25" s="33" t="str">
        <f>IF(AND(ISNUMBER(Q13),(Рабочий!$E$17=1)),IF(AND(Q13&gt;=Рабочий!$A$34,Рабочий!$E$34&gt;=Q13),EXP(Рабочий!$G$8*POWER(LN(Q13),5)+Рабочий!$G$9*POWER(LN(Q13),4)+Рабочий!$G$10*POWER(LN(Q13),3)+Рабочий!$G$11*POWER(LN(Q13),2)+Рабочий!$G$12*LN(Q13)+Рабочий!$G$13),IF(Q13&lt;Рабочий!$A$34,"-",CONCATENATE("&gt;",Рабочий!$D$34))),"     ")</f>
        <v>     </v>
      </c>
      <c r="R25" s="33" t="str">
        <f>IF(AND(ISNUMBER(R13),(Рабочий!$E$17=1)),IF(AND(R13&gt;=Рабочий!$A$34,Рабочий!$E$34&gt;=R13),EXP(Рабочий!$G$8*POWER(LN(R13),5)+Рабочий!$G$9*POWER(LN(R13),4)+Рабочий!$G$10*POWER(LN(R13),3)+Рабочий!$G$11*POWER(LN(R13),2)+Рабочий!$G$12*LN(R13)+Рабочий!$G$13),IF(R13&lt;Рабочий!$A$34,"-",CONCATENATE("&gt;",Рабочий!$D$34))),"     ")</f>
        <v>     </v>
      </c>
      <c r="S25" s="33" t="str">
        <f>IF(AND(ISNUMBER(S13),(Рабочий!$E$17=1)),IF(AND(S13&gt;=Рабочий!$A$34,Рабочий!$E$34&gt;=S13),EXP(Рабочий!$G$8*POWER(LN(S13),5)+Рабочий!$G$9*POWER(LN(S13),4)+Рабочий!$G$10*POWER(LN(S13),3)+Рабочий!$G$11*POWER(LN(S13),2)+Рабочий!$G$12*LN(S13)+Рабочий!$G$13),IF(S13&lt;Рабочий!$A$34,"-",CONCATENATE("&gt;",Рабочий!$D$34))),"     ")</f>
        <v>     </v>
      </c>
      <c r="T25" s="33" t="str">
        <f>IF(AND(ISNUMBER(T13),(Рабочий!$E$17=1)),IF(AND(T13&gt;=Рабочий!$A$34,Рабочий!$E$34&gt;=T13),EXP(Рабочий!$G$8*POWER(LN(T13),5)+Рабочий!$G$9*POWER(LN(T13),4)+Рабочий!$G$10*POWER(LN(T13),3)+Рабочий!$G$11*POWER(LN(T13),2)+Рабочий!$G$12*LN(T13)+Рабочий!$G$13),IF(T13&lt;Рабочий!$A$34,"-",CONCATENATE("&gt;",Рабочий!$D$34))),"     ")</f>
        <v>     </v>
      </c>
    </row>
    <row r="26" spans="8:20" ht="12.75" customHeight="1" thickBot="1">
      <c r="H26" s="11" t="s">
        <v>15</v>
      </c>
      <c r="I26" s="33" t="str">
        <f>IF(AND(ISNUMBER(I14),(Рабочий!$E$17=1)),IF(AND(I14&gt;=Рабочий!$A$34,Рабочий!$E$34&gt;=I14),EXP(Рабочий!$G$8*POWER(LN(I14),5)+Рабочий!$G$9*POWER(LN(I14),4)+Рабочий!$G$10*POWER(LN(I14),3)+Рабочий!$G$11*POWER(LN(I14),2)+Рабочий!$G$12*LN(I14)+Рабочий!$G$13),IF(I14&lt;Рабочий!$A$34,0,CONCATENATE("&gt;",Рабочий!$D$34))),"     ")</f>
        <v>     </v>
      </c>
      <c r="J26" s="33" t="str">
        <f>IF(AND(ISNUMBER(J14),(Рабочий!$E$17=1)),IF(AND(J14&gt;=Рабочий!$A$34,Рабочий!$E$34&gt;=J14),EXP(Рабочий!$G$8*POWER(LN(J14),5)+Рабочий!$G$9*POWER(LN(J14),4)+Рабочий!$G$10*POWER(LN(J14),3)+Рабочий!$G$11*POWER(LN(J14),2)+Рабочий!$G$12*LN(J14)+Рабочий!$G$13),IF(J14&lt;Рабочий!$A$34,0,CONCATENATE("&gt;",Рабочий!$D$34))),"     ")</f>
        <v>     </v>
      </c>
      <c r="K26" s="33" t="str">
        <f>IF(AND(ISNUMBER(K14),(Рабочий!$E$17=1)),IF(AND(K14&gt;=Рабочий!$A$34,Рабочий!$E$34&gt;=K14),EXP(Рабочий!$G$8*POWER(LN(K14),5)+Рабочий!$G$9*POWER(LN(K14),4)+Рабочий!$G$10*POWER(LN(K14),3)+Рабочий!$G$11*POWER(LN(K14),2)+Рабочий!$G$12*LN(K14)+Рабочий!$G$13),IF(K14&lt;Рабочий!$A$34,0,CONCATENATE("&gt;",Рабочий!$D$34))),"     ")</f>
        <v>     </v>
      </c>
      <c r="L26" s="33" t="str">
        <f>IF(AND(ISNUMBER(L14),(Рабочий!$E$17=1)),IF(AND(L14&gt;=Рабочий!$A$34,Рабочий!$E$34&gt;=L14),EXP(Рабочий!$G$8*POWER(LN(L14),5)+Рабочий!$G$9*POWER(LN(L14),4)+Рабочий!$G$10*POWER(LN(L14),3)+Рабочий!$G$11*POWER(LN(L14),2)+Рабочий!$G$12*LN(L14)+Рабочий!$G$13),IF(L14&lt;Рабочий!$A$34,0,CONCATENATE("&gt;",Рабочий!$D$34))),"     ")</f>
        <v>     </v>
      </c>
      <c r="M26" s="33" t="str">
        <f>IF(AND(ISNUMBER(M14),(Рабочий!$E$17=1)),IF(AND(M14&gt;=Рабочий!$A$34,Рабочий!$E$34&gt;=M14),EXP(Рабочий!$G$8*POWER(LN(M14),5)+Рабочий!$G$9*POWER(LN(M14),4)+Рабочий!$G$10*POWER(LN(M14),3)+Рабочий!$G$11*POWER(LN(M14),2)+Рабочий!$G$12*LN(M14)+Рабочий!$G$13),IF(M14&lt;Рабочий!$A$34,0,CONCATENATE("&gt;",Рабочий!$D$34))),"     ")</f>
        <v>     </v>
      </c>
      <c r="N26" s="33" t="str">
        <f>IF(AND(ISNUMBER(N14),(Рабочий!$E$17=1)),IF(AND(N14&gt;=Рабочий!$A$34,Рабочий!$E$34&gt;=N14),EXP(Рабочий!$G$8*POWER(LN(N14),5)+Рабочий!$G$9*POWER(LN(N14),4)+Рабочий!$G$10*POWER(LN(N14),3)+Рабочий!$G$11*POWER(LN(N14),2)+Рабочий!$G$12*LN(N14)+Рабочий!$G$13),IF(N14&lt;Рабочий!$A$34,"-",CONCATENATE("&gt;",Рабочий!$D$34))),"     ")</f>
        <v>     </v>
      </c>
      <c r="O26" s="33" t="str">
        <f>IF(AND(ISNUMBER(O14),(Рабочий!$E$17=1)),IF(AND(O14&gt;=Рабочий!$A$34,Рабочий!$E$34&gt;=O14),EXP(Рабочий!$G$8*POWER(LN(O14),5)+Рабочий!$G$9*POWER(LN(O14),4)+Рабочий!$G$10*POWER(LN(O14),3)+Рабочий!$G$11*POWER(LN(O14),2)+Рабочий!$G$12*LN(O14)+Рабочий!$G$13),IF(O14&lt;Рабочий!$A$34,"-",CONCATENATE("&gt;",Рабочий!$D$34))),"     ")</f>
        <v>     </v>
      </c>
      <c r="P26" s="33" t="str">
        <f>IF(AND(ISNUMBER(P14),(Рабочий!$E$17=1)),IF(AND(P14&gt;=Рабочий!$A$34,Рабочий!$E$34&gt;=P14),EXP(Рабочий!$G$8*POWER(LN(P14),5)+Рабочий!$G$9*POWER(LN(P14),4)+Рабочий!$G$10*POWER(LN(P14),3)+Рабочий!$G$11*POWER(LN(P14),2)+Рабочий!$G$12*LN(P14)+Рабочий!$G$13),IF(P14&lt;Рабочий!$A$34,"-",CONCATENATE("&gt;",Рабочий!$D$34))),"     ")</f>
        <v>     </v>
      </c>
      <c r="Q26" s="33" t="str">
        <f>IF(AND(ISNUMBER(Q14),(Рабочий!$E$17=1)),IF(AND(Q14&gt;=Рабочий!$A$34,Рабочий!$E$34&gt;=Q14),EXP(Рабочий!$G$8*POWER(LN(Q14),5)+Рабочий!$G$9*POWER(LN(Q14),4)+Рабочий!$G$10*POWER(LN(Q14),3)+Рабочий!$G$11*POWER(LN(Q14),2)+Рабочий!$G$12*LN(Q14)+Рабочий!$G$13),IF(Q14&lt;Рабочий!$A$34,"-",CONCATENATE("&gt;",Рабочий!$D$34))),"     ")</f>
        <v>     </v>
      </c>
      <c r="R26" s="33" t="str">
        <f>IF(AND(ISNUMBER(R14),(Рабочий!$E$17=1)),IF(AND(R14&gt;=Рабочий!$A$34,Рабочий!$E$34&gt;=R14),EXP(Рабочий!$G$8*POWER(LN(R14),5)+Рабочий!$G$9*POWER(LN(R14),4)+Рабочий!$G$10*POWER(LN(R14),3)+Рабочий!$G$11*POWER(LN(R14),2)+Рабочий!$G$12*LN(R14)+Рабочий!$G$13),IF(R14&lt;Рабочий!$A$34,"-",CONCATENATE("&gt;",Рабочий!$D$34))),"     ")</f>
        <v>     </v>
      </c>
      <c r="S26" s="33" t="str">
        <f>IF(AND(ISNUMBER(S14),(Рабочий!$E$17=1)),IF(AND(S14&gt;=Рабочий!$A$34,Рабочий!$E$34&gt;=S14),EXP(Рабочий!$G$8*POWER(LN(S14),5)+Рабочий!$G$9*POWER(LN(S14),4)+Рабочий!$G$10*POWER(LN(S14),3)+Рабочий!$G$11*POWER(LN(S14),2)+Рабочий!$G$12*LN(S14)+Рабочий!$G$13),IF(S14&lt;Рабочий!$A$34,"-",CONCATENATE("&gt;",Рабочий!$D$34))),"     ")</f>
        <v>     </v>
      </c>
      <c r="T26" s="33" t="str">
        <f>IF(AND(ISNUMBER(T14),(Рабочий!$E$17=1)),IF(AND(T14&gt;=Рабочий!$A$34,Рабочий!$E$34&gt;=T14),EXP(Рабочий!$G$8*POWER(LN(T14),5)+Рабочий!$G$9*POWER(LN(T14),4)+Рабочий!$G$10*POWER(LN(T14),3)+Рабочий!$G$11*POWER(LN(T14),2)+Рабочий!$G$12*LN(T14)+Рабочий!$G$13),IF(T14&lt;Рабочий!$A$34,"-",CONCATENATE("&gt;",Рабочий!$D$34))),"     ")</f>
        <v>     </v>
      </c>
    </row>
    <row r="27" ht="12.75">
      <c r="F27" s="7"/>
    </row>
    <row r="28" spans="2:17" ht="12.75">
      <c r="B28" s="9"/>
      <c r="C28" s="9"/>
      <c r="D28" s="9"/>
      <c r="E28" s="9"/>
      <c r="I28" s="6"/>
      <c r="J28" s="34" t="str">
        <f>IF(C45=5," ","-отрицательные сыворотки")</f>
        <v>-отрицательные сыворотки</v>
      </c>
      <c r="O28" s="6"/>
      <c r="P28" s="19"/>
      <c r="Q28" s="16"/>
    </row>
    <row r="29" spans="2:10" ht="12.75">
      <c r="B29" s="9"/>
      <c r="C29" s="9"/>
      <c r="D29" s="9"/>
      <c r="E29" s="9"/>
      <c r="I29" s="29"/>
      <c r="J29" s="19"/>
    </row>
    <row r="30" spans="2:5" ht="12.75">
      <c r="B30" s="9"/>
      <c r="C30" s="9"/>
      <c r="D30" s="9"/>
      <c r="E30" s="9"/>
    </row>
    <row r="31" spans="2:7" ht="12.75">
      <c r="B31" s="9"/>
      <c r="C31" s="9"/>
      <c r="D31" s="9"/>
      <c r="E31" s="9"/>
      <c r="G31" s="7"/>
    </row>
    <row r="32" spans="2:18" ht="12.75">
      <c r="B32" s="9"/>
      <c r="C32" s="9"/>
      <c r="D32" s="9"/>
      <c r="E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2:18" ht="12.75">
      <c r="B33" s="9"/>
      <c r="C33" s="9"/>
      <c r="D33" s="9"/>
      <c r="E33" s="9"/>
      <c r="I33" s="9"/>
      <c r="J33" s="30"/>
      <c r="K33" s="30"/>
      <c r="L33" s="9"/>
      <c r="M33" s="30"/>
      <c r="N33" s="30"/>
      <c r="O33" s="9"/>
      <c r="P33" s="30"/>
      <c r="Q33" s="9"/>
      <c r="R33" s="9"/>
    </row>
    <row r="34" spans="2:18" ht="12.75">
      <c r="B34" s="9"/>
      <c r="C34" s="9"/>
      <c r="D34" s="9"/>
      <c r="E34" s="9"/>
      <c r="I34" s="9"/>
      <c r="J34" s="30"/>
      <c r="K34" s="30"/>
      <c r="L34" s="9"/>
      <c r="M34" s="30"/>
      <c r="N34" s="30"/>
      <c r="O34" s="9"/>
      <c r="P34" s="30"/>
      <c r="Q34" s="9"/>
      <c r="R34" s="9"/>
    </row>
    <row r="35" spans="9:18" ht="12.75">
      <c r="I35" s="9"/>
      <c r="J35" s="30"/>
      <c r="K35" s="30"/>
      <c r="L35" s="9"/>
      <c r="M35" s="30"/>
      <c r="N35" s="30"/>
      <c r="O35" s="9"/>
      <c r="P35" s="30"/>
      <c r="Q35" s="9"/>
      <c r="R35" s="9"/>
    </row>
    <row r="36" spans="9:18" ht="12.75">
      <c r="I36" s="9"/>
      <c r="J36" s="30"/>
      <c r="K36" s="30"/>
      <c r="L36" s="9"/>
      <c r="M36" s="30"/>
      <c r="N36" s="30"/>
      <c r="O36" s="9"/>
      <c r="P36" s="30"/>
      <c r="Q36" s="9"/>
      <c r="R36" s="9"/>
    </row>
    <row r="37" spans="9:18" ht="18">
      <c r="I37" s="35"/>
      <c r="J37" s="30"/>
      <c r="K37" s="30"/>
      <c r="L37" s="9"/>
      <c r="M37" s="30"/>
      <c r="N37" s="30"/>
      <c r="O37" s="9"/>
      <c r="P37" s="30"/>
      <c r="Q37" s="9"/>
      <c r="R37" s="9"/>
    </row>
    <row r="38" spans="9:18" ht="12.75">
      <c r="I38" s="9"/>
      <c r="J38" s="30"/>
      <c r="K38" s="30"/>
      <c r="L38" s="9"/>
      <c r="M38" s="30"/>
      <c r="N38" s="30"/>
      <c r="O38" s="9"/>
      <c r="P38" s="30"/>
      <c r="Q38" s="9"/>
      <c r="R38" s="9"/>
    </row>
    <row r="39" spans="9:18" ht="12.75">
      <c r="I39" s="9"/>
      <c r="J39" s="9"/>
      <c r="K39" s="9"/>
      <c r="L39" s="9"/>
      <c r="M39" s="9"/>
      <c r="N39" s="9"/>
      <c r="O39" s="9"/>
      <c r="P39" s="9"/>
      <c r="Q39" s="9"/>
      <c r="R39" s="9"/>
    </row>
    <row r="42" ht="12.75" customHeight="1"/>
    <row r="43" ht="13.5" customHeight="1"/>
    <row r="44" ht="13.5" customHeight="1"/>
    <row r="45" spans="3:4" ht="2.25" customHeight="1">
      <c r="C45">
        <v>1</v>
      </c>
      <c r="D45">
        <f>IF(C45=1,25,IF(C45=5,0,20))</f>
        <v>25</v>
      </c>
    </row>
    <row r="46" ht="13.5" customHeight="1"/>
    <row r="47" ht="13.5" customHeight="1"/>
    <row r="48" ht="13.5" customHeight="1"/>
  </sheetData>
  <sheetProtection/>
  <mergeCells count="2">
    <mergeCell ref="H5:T5"/>
    <mergeCell ref="H17:T17"/>
  </mergeCells>
  <conditionalFormatting sqref="I19:T26">
    <cfRule type="cellIs" priority="1" dxfId="0" operator="lessThan" stopIfTrue="1">
      <formula>$D$45</formula>
    </cfRule>
  </conditionalFormatting>
  <conditionalFormatting sqref="I28">
    <cfRule type="cellIs" priority="2" dxfId="0" operator="lessThan" stopIfTrue="1">
      <formula>5-$C$45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3:O55"/>
  <sheetViews>
    <sheetView zoomScalePageLayoutView="0" workbookViewId="0" topLeftCell="C1">
      <selection activeCell="C4" sqref="C4"/>
    </sheetView>
  </sheetViews>
  <sheetFormatPr defaultColWidth="9.00390625" defaultRowHeight="12.75"/>
  <cols>
    <col min="3" max="3" width="15.00390625" style="0" customWidth="1"/>
    <col min="4" max="4" width="10.625" style="0" customWidth="1"/>
    <col min="5" max="5" width="10.875" style="0" customWidth="1"/>
    <col min="6" max="6" width="2.125" style="0" customWidth="1"/>
    <col min="7" max="7" width="12.375" style="0" customWidth="1"/>
    <col min="8" max="8" width="12.375" style="0" bestFit="1" customWidth="1"/>
  </cols>
  <sheetData>
    <row r="1" ht="3.75" customHeight="1"/>
    <row r="2" ht="3.75" customHeight="1"/>
    <row r="3" ht="3.75" customHeight="1">
      <c r="C3" t="s">
        <v>79</v>
      </c>
    </row>
    <row r="4" spans="3:15" ht="3.75" customHeight="1">
      <c r="C4" t="s">
        <v>80</v>
      </c>
      <c r="L4" t="s">
        <v>7</v>
      </c>
      <c r="M4">
        <v>55</v>
      </c>
      <c r="N4">
        <v>180</v>
      </c>
      <c r="O4" t="s">
        <v>16</v>
      </c>
    </row>
    <row r="5" spans="3:14" ht="3.75" customHeight="1">
      <c r="C5" t="str">
        <f>MID(C4,4,LEN(C4)-3)</f>
        <v> 0,0145x3 - 0,2802x2 + 1,7539x + 0,1452</v>
      </c>
      <c r="L5" t="s">
        <v>4</v>
      </c>
      <c r="M5">
        <v>40</v>
      </c>
      <c r="N5">
        <v>120</v>
      </c>
    </row>
    <row r="6" spans="12:14" ht="3.75" customHeight="1">
      <c r="L6" t="s">
        <v>5</v>
      </c>
      <c r="M6">
        <v>30</v>
      </c>
      <c r="N6">
        <v>150</v>
      </c>
    </row>
    <row r="7" spans="3:14" ht="3.75" customHeight="1">
      <c r="C7" s="28"/>
      <c r="D7" s="28" t="s">
        <v>20</v>
      </c>
      <c r="E7" s="28" t="s">
        <v>21</v>
      </c>
      <c r="F7" s="28" t="s">
        <v>22</v>
      </c>
      <c r="G7" s="28" t="s">
        <v>23</v>
      </c>
      <c r="I7">
        <v>5</v>
      </c>
      <c r="L7" t="s">
        <v>6</v>
      </c>
      <c r="M7">
        <v>20</v>
      </c>
      <c r="N7">
        <v>80</v>
      </c>
    </row>
    <row r="8" spans="3:9" ht="3.75" customHeight="1">
      <c r="C8" t="s">
        <v>24</v>
      </c>
      <c r="D8" t="e">
        <f>SEARCH("X5",$C$5,1)</f>
        <v>#VALUE!</v>
      </c>
      <c r="E8">
        <v>1</v>
      </c>
      <c r="F8" t="b">
        <f aca="true" t="shared" si="0" ref="F8:F13">IF(ISNUMBER(D8),D8)</f>
        <v>0</v>
      </c>
      <c r="G8">
        <f>IF(ISNUMBER(D8),MID($C$5,E8,F8-E8),0)</f>
        <v>0</v>
      </c>
      <c r="H8">
        <f aca="true" t="shared" si="1" ref="H8:H13">G8*POWER($K$16,I8)</f>
        <v>0</v>
      </c>
      <c r="I8">
        <v>5</v>
      </c>
    </row>
    <row r="9" spans="3:14" ht="3.75" customHeight="1">
      <c r="C9" t="s">
        <v>25</v>
      </c>
      <c r="D9" t="e">
        <f>SEARCH("X4",$C$5,1)</f>
        <v>#VALUE!</v>
      </c>
      <c r="E9">
        <f>IF(ISNUMBER(D8),D8+3,1)</f>
        <v>1</v>
      </c>
      <c r="F9" t="b">
        <f t="shared" si="0"/>
        <v>0</v>
      </c>
      <c r="G9">
        <f>IF(ISNUMBER(D9),MID($C$5,E9,F9-E9),0)</f>
        <v>0</v>
      </c>
      <c r="H9">
        <f t="shared" si="1"/>
        <v>0</v>
      </c>
      <c r="I9">
        <v>4</v>
      </c>
      <c r="L9">
        <v>1</v>
      </c>
      <c r="M9">
        <v>30</v>
      </c>
      <c r="N9">
        <v>150</v>
      </c>
    </row>
    <row r="10" spans="3:9" ht="3.75" customHeight="1">
      <c r="C10" t="s">
        <v>26</v>
      </c>
      <c r="D10">
        <f>SEARCH("X3",$C$5,1)</f>
        <v>8</v>
      </c>
      <c r="E10">
        <f>IF(ISNUMBER(D9),D9+3,1)</f>
        <v>1</v>
      </c>
      <c r="F10">
        <f t="shared" si="0"/>
        <v>8</v>
      </c>
      <c r="G10" t="str">
        <f>IF(ISNUMBER(D10),MID($C$5,E10,F10-E10),0)</f>
        <v> 0,0145</v>
      </c>
      <c r="H10">
        <f t="shared" si="1"/>
        <v>0.4079730399889376</v>
      </c>
      <c r="I10">
        <v>3</v>
      </c>
    </row>
    <row r="11" spans="3:9" ht="3.75" customHeight="1">
      <c r="C11" t="s">
        <v>19</v>
      </c>
      <c r="D11">
        <f>SEARCH("X2",$C$5,1)</f>
        <v>19</v>
      </c>
      <c r="E11">
        <f>IF(ISNUMBER(D10),D10+3,1)</f>
        <v>11</v>
      </c>
      <c r="F11">
        <f t="shared" si="0"/>
        <v>19</v>
      </c>
      <c r="G11" t="str">
        <f>IF(ISNUMBER(D11),MID($C$5,E11,F11-E11),0)</f>
        <v>- 0,2802</v>
      </c>
      <c r="H11">
        <f t="shared" si="1"/>
        <v>-2.59205237445</v>
      </c>
      <c r="I11">
        <v>2</v>
      </c>
    </row>
    <row r="12" spans="3:9" ht="3.75" customHeight="1">
      <c r="C12" t="s">
        <v>1</v>
      </c>
      <c r="D12">
        <f>SEARCH("X",$C$5,IF(ISNUMBER(D11),D11+2,1))</f>
        <v>30</v>
      </c>
      <c r="E12">
        <f>IF(ISNUMBER(D11),D11+3,1)</f>
        <v>22</v>
      </c>
      <c r="F12">
        <f t="shared" si="0"/>
        <v>30</v>
      </c>
      <c r="G12" t="str">
        <f>IF(ISNUMBER(D12),MID($C$5,E12,F12-E12),0)</f>
        <v>+ 1,7539</v>
      </c>
      <c r="H12">
        <f t="shared" si="1"/>
        <v>5.33448685</v>
      </c>
      <c r="I12">
        <v>1</v>
      </c>
    </row>
    <row r="13" spans="3:9" ht="3.75" customHeight="1">
      <c r="C13" t="s">
        <v>2</v>
      </c>
      <c r="D13">
        <f>LEN(C5)</f>
        <v>39</v>
      </c>
      <c r="E13">
        <f>IF(ISNUMBER(D12),D12+3,1)</f>
        <v>33</v>
      </c>
      <c r="F13">
        <f t="shared" si="0"/>
        <v>39</v>
      </c>
      <c r="G13" t="str">
        <f>IF(ISNUMBER(D13),MID($C$5,E13-1,F13-E13+2),0)</f>
        <v>+ 0,1452</v>
      </c>
      <c r="H13">
        <f t="shared" si="1"/>
        <v>0.1452</v>
      </c>
      <c r="I13">
        <v>0</v>
      </c>
    </row>
    <row r="14" ht="3.75" customHeight="1">
      <c r="E14" s="4"/>
    </row>
    <row r="15" ht="3.75" customHeight="1">
      <c r="H15">
        <f>EXP(SUM(H8:H14))</f>
        <v>26.993808247502233</v>
      </c>
    </row>
    <row r="16" spans="7:11" ht="3.75" customHeight="1">
      <c r="G16" s="6"/>
      <c r="K16" s="15">
        <v>3.0415</v>
      </c>
    </row>
    <row r="17" spans="3:7" ht="3.75" customHeight="1">
      <c r="C17" s="7">
        <f>ABS(MID(C3,5,LEN(C3)-4))</f>
        <v>1</v>
      </c>
      <c r="D17" s="8"/>
      <c r="E17">
        <v>0</v>
      </c>
      <c r="G17" s="6"/>
    </row>
    <row r="18" ht="3.75" customHeight="1" thickBot="1">
      <c r="G18" s="6"/>
    </row>
    <row r="19" spans="1:4" ht="3.75" customHeight="1" thickBot="1">
      <c r="A19" s="1" t="s">
        <v>0</v>
      </c>
      <c r="B19" t="str">
        <f>'Аутоиммунные маркеры'!C4</f>
        <v>Концентрация антител в калибраторе, МЕ/мл</v>
      </c>
      <c r="C19" t="str">
        <f>'Аутоиммунные маркеры'!D4</f>
        <v>Оптическая плотность калибратора, О.Е.</v>
      </c>
      <c r="D19" t="str">
        <f>Рабочий!A19</f>
        <v>Log</v>
      </c>
    </row>
    <row r="20" spans="1:9" ht="3.75" customHeight="1" thickBot="1">
      <c r="A20" s="3">
        <f>IF(ISNUMBER(EXP(C20)),EXP(C20),80)</f>
        <v>80</v>
      </c>
      <c r="B20" t="e">
        <f>IF(ISNUMBER('Аутоиммунные маркеры'!C5),'Аутоиммунные маркеры'!C5,NA())</f>
        <v>#N/A</v>
      </c>
      <c r="C20" t="e">
        <f>IF(ISNUMBER('Аутоиммунные маркеры'!D5),LN('Аутоиммунные маркеры'!D5),NA())</f>
        <v>#N/A</v>
      </c>
      <c r="D20" s="4" t="e">
        <f>IF(ISNUMBER('Аутоиммунные маркеры'!C5),(LN('Аутоиммунные маркеры'!C5)),NA())</f>
        <v>#N/A</v>
      </c>
      <c r="E20" s="3">
        <f>IF(ISNUMBER(EXP(C20)),EXP(C20),0)</f>
        <v>0</v>
      </c>
      <c r="G20" s="5">
        <f>ABS(E20/20)</f>
        <v>0</v>
      </c>
      <c r="H20">
        <f>IF(ISNUMBER(G20),1,0)</f>
        <v>1</v>
      </c>
      <c r="I20" t="e">
        <f aca="true" t="shared" si="2" ref="I20:I25">-32.284*D20*D20*D20+83.471*D20*D20-130.34*D20+71.863</f>
        <v>#N/A</v>
      </c>
    </row>
    <row r="21" spans="1:9" ht="3.75" customHeight="1" thickBot="1">
      <c r="A21" s="3">
        <f aca="true" t="shared" si="3" ref="A21:A31">IF(ISNUMBER(EXP(C21)),EXP(C21),80)</f>
        <v>80</v>
      </c>
      <c r="B21" t="e">
        <f>IF(ISNUMBER('Аутоиммунные маркеры'!C6),'Аутоиммунные маркеры'!C6,NA())</f>
        <v>#N/A</v>
      </c>
      <c r="C21" t="e">
        <f>IF(ISNUMBER('Аутоиммунные маркеры'!D6),LN('Аутоиммунные маркеры'!D6),NA())</f>
        <v>#N/A</v>
      </c>
      <c r="D21" s="4" t="e">
        <f>IF(ISNUMBER('Аутоиммунные маркеры'!C6),(LN('Аутоиммунные маркеры'!C6)),NA())</f>
        <v>#N/A</v>
      </c>
      <c r="E21" s="3">
        <f aca="true" t="shared" si="4" ref="E21:E31">IF(ISNUMBER(EXP(C21)),EXP(C21),0)</f>
        <v>0</v>
      </c>
      <c r="G21" t="e">
        <f>ABS(E21-B21)/E21</f>
        <v>#N/A</v>
      </c>
      <c r="H21">
        <f aca="true" t="shared" si="5" ref="H21:H31">IF(ISNUMBER(G21),1,0)</f>
        <v>0</v>
      </c>
      <c r="I21" t="e">
        <f t="shared" si="2"/>
        <v>#N/A</v>
      </c>
    </row>
    <row r="22" spans="1:9" ht="3.75" customHeight="1" thickBot="1">
      <c r="A22" s="3">
        <f t="shared" si="3"/>
        <v>80</v>
      </c>
      <c r="B22" t="e">
        <f>IF(ISNUMBER('Аутоиммунные маркеры'!C7),'Аутоиммунные маркеры'!C7,NA())</f>
        <v>#N/A</v>
      </c>
      <c r="C22" t="e">
        <f>IF(ISNUMBER('Аутоиммунные маркеры'!D7),LN('Аутоиммунные маркеры'!D7),NA())</f>
        <v>#N/A</v>
      </c>
      <c r="D22" s="4" t="e">
        <f>IF(ISNUMBER('Аутоиммунные маркеры'!C7),(LN('Аутоиммунные маркеры'!C7)),NA())</f>
        <v>#N/A</v>
      </c>
      <c r="E22" s="3">
        <f t="shared" si="4"/>
        <v>0</v>
      </c>
      <c r="G22" t="e">
        <f>ABS(E22-B22)/E22</f>
        <v>#N/A</v>
      </c>
      <c r="H22">
        <f t="shared" si="5"/>
        <v>0</v>
      </c>
      <c r="I22" t="e">
        <f t="shared" si="2"/>
        <v>#N/A</v>
      </c>
    </row>
    <row r="23" spans="1:9" ht="3.75" customHeight="1" thickBot="1">
      <c r="A23" s="3">
        <f t="shared" si="3"/>
        <v>80</v>
      </c>
      <c r="B23" t="e">
        <f>IF(ISNUMBER('Аутоиммунные маркеры'!C8),'Аутоиммунные маркеры'!C8,NA())</f>
        <v>#N/A</v>
      </c>
      <c r="C23" t="e">
        <f>IF(ISNUMBER('Аутоиммунные маркеры'!D8),LN('Аутоиммунные маркеры'!D8),NA())</f>
        <v>#N/A</v>
      </c>
      <c r="D23" s="4" t="e">
        <f>IF(ISNUMBER('Аутоиммунные маркеры'!C8),(LN('Аутоиммунные маркеры'!C8)),NA())</f>
        <v>#N/A</v>
      </c>
      <c r="E23" s="3">
        <f t="shared" si="4"/>
        <v>0</v>
      </c>
      <c r="G23" t="e">
        <f>ABS(E23-B23)/E23</f>
        <v>#N/A</v>
      </c>
      <c r="H23">
        <f t="shared" si="5"/>
        <v>0</v>
      </c>
      <c r="I23" t="e">
        <f t="shared" si="2"/>
        <v>#N/A</v>
      </c>
    </row>
    <row r="24" spans="1:9" ht="3.75" customHeight="1" thickBot="1">
      <c r="A24" s="3">
        <f t="shared" si="3"/>
        <v>80</v>
      </c>
      <c r="B24" t="e">
        <f>IF(ISNUMBER('Аутоиммунные маркеры'!C9),'Аутоиммунные маркеры'!C9,NA())</f>
        <v>#N/A</v>
      </c>
      <c r="C24" t="e">
        <f>IF(ISNUMBER('Аутоиммунные маркеры'!D9),LN('Аутоиммунные маркеры'!D9),NA())</f>
        <v>#N/A</v>
      </c>
      <c r="D24" s="4" t="e">
        <f>IF(ISNUMBER('Аутоиммунные маркеры'!C9),(LN('Аутоиммунные маркеры'!C9)),NA())</f>
        <v>#N/A</v>
      </c>
      <c r="E24" s="3">
        <f t="shared" si="4"/>
        <v>0</v>
      </c>
      <c r="G24" t="e">
        <f>ABS(E24-B24)/E24</f>
        <v>#N/A</v>
      </c>
      <c r="H24">
        <f t="shared" si="5"/>
        <v>0</v>
      </c>
      <c r="I24" t="e">
        <f t="shared" si="2"/>
        <v>#N/A</v>
      </c>
    </row>
    <row r="25" spans="1:9" ht="3.75" customHeight="1" thickBot="1">
      <c r="A25" s="3">
        <f t="shared" si="3"/>
        <v>80</v>
      </c>
      <c r="B25" t="e">
        <f>IF(ISNUMBER('Аутоиммунные маркеры'!C10),'Аутоиммунные маркеры'!C10,NA())</f>
        <v>#N/A</v>
      </c>
      <c r="C25" t="e">
        <f>IF(ISNUMBER('Аутоиммунные маркеры'!D10),LN('Аутоиммунные маркеры'!D10),NA())</f>
        <v>#N/A</v>
      </c>
      <c r="D25" s="4" t="e">
        <f>IF(ISNUMBER('Аутоиммунные маркеры'!C10),(LN('Аутоиммунные маркеры'!C10)),NA())</f>
        <v>#N/A</v>
      </c>
      <c r="E25" s="3">
        <f t="shared" si="4"/>
        <v>0</v>
      </c>
      <c r="G25" t="e">
        <f>ABS(E25-B25)/E25</f>
        <v>#N/A</v>
      </c>
      <c r="H25">
        <f t="shared" si="5"/>
        <v>0</v>
      </c>
      <c r="I25" t="e">
        <f t="shared" si="2"/>
        <v>#N/A</v>
      </c>
    </row>
    <row r="26" spans="1:8" ht="3.75" customHeight="1" thickBot="1">
      <c r="A26" s="3">
        <f t="shared" si="3"/>
        <v>80</v>
      </c>
      <c r="B26" t="e">
        <f>IF(ISNUMBER('Аутоиммунные маркеры'!C11),'Аутоиммунные маркеры'!C11,NA())</f>
        <v>#N/A</v>
      </c>
      <c r="C26" t="e">
        <f>IF(ISNUMBER('Аутоиммунные маркеры'!D11),LN('Аутоиммунные маркеры'!D11),NA())</f>
        <v>#N/A</v>
      </c>
      <c r="D26" s="4" t="e">
        <f>IF(ISNUMBER('Аутоиммунные маркеры'!C11),(LN('Аутоиммунные маркеры'!C11)),NA())</f>
        <v>#N/A</v>
      </c>
      <c r="E26" s="3">
        <f t="shared" si="4"/>
        <v>0</v>
      </c>
      <c r="G26" t="e">
        <f aca="true" t="shared" si="6" ref="G26:G31">(E26-B26)/E26</f>
        <v>#N/A</v>
      </c>
      <c r="H26">
        <f t="shared" si="5"/>
        <v>0</v>
      </c>
    </row>
    <row r="27" spans="1:8" ht="3.75" customHeight="1" thickBot="1">
      <c r="A27" s="3">
        <f t="shared" si="3"/>
        <v>80</v>
      </c>
      <c r="B27" t="e">
        <f>IF(ISNUMBER('Аутоиммунные маркеры'!C12),'Аутоиммунные маркеры'!C12,NA())</f>
        <v>#N/A</v>
      </c>
      <c r="C27" t="e">
        <f>IF(ISNUMBER('Аутоиммунные маркеры'!D12),LN('Аутоиммунные маркеры'!D12),NA())</f>
        <v>#N/A</v>
      </c>
      <c r="D27" s="4" t="e">
        <f>IF(ISNUMBER('Аутоиммунные маркеры'!C12),(LN('Аутоиммунные маркеры'!C12)),NA())</f>
        <v>#N/A</v>
      </c>
      <c r="E27" s="3">
        <f t="shared" si="4"/>
        <v>0</v>
      </c>
      <c r="G27" t="e">
        <f t="shared" si="6"/>
        <v>#N/A</v>
      </c>
      <c r="H27">
        <f t="shared" si="5"/>
        <v>0</v>
      </c>
    </row>
    <row r="28" spans="1:8" ht="3.75" customHeight="1" thickBot="1">
      <c r="A28" s="3">
        <f t="shared" si="3"/>
        <v>80</v>
      </c>
      <c r="B28" t="e">
        <f>IF(ISNUMBER('Аутоиммунные маркеры'!C13),'Аутоиммунные маркеры'!C13,NA())</f>
        <v>#N/A</v>
      </c>
      <c r="C28" t="e">
        <f>IF(ISNUMBER('Аутоиммунные маркеры'!D13),LN('Аутоиммунные маркеры'!D13),NA())</f>
        <v>#N/A</v>
      </c>
      <c r="D28" s="4" t="e">
        <f>IF(ISNUMBER('Аутоиммунные маркеры'!C13),(LN('Аутоиммунные маркеры'!C13)),NA())</f>
        <v>#N/A</v>
      </c>
      <c r="E28" s="3">
        <f t="shared" si="4"/>
        <v>0</v>
      </c>
      <c r="G28" t="e">
        <f t="shared" si="6"/>
        <v>#N/A</v>
      </c>
      <c r="H28">
        <f t="shared" si="5"/>
        <v>0</v>
      </c>
    </row>
    <row r="29" spans="1:8" ht="3.75" customHeight="1" thickBot="1">
      <c r="A29" s="3">
        <f t="shared" si="3"/>
        <v>80</v>
      </c>
      <c r="B29" t="e">
        <f>IF(ISNUMBER('Аутоиммунные маркеры'!C14),'Аутоиммунные маркеры'!C14,NA())</f>
        <v>#N/A</v>
      </c>
      <c r="C29" t="e">
        <f>IF(ISNUMBER('Аутоиммунные маркеры'!D14),LN('Аутоиммунные маркеры'!D14),NA())</f>
        <v>#N/A</v>
      </c>
      <c r="D29" s="4" t="e">
        <f>IF(ISNUMBER('Аутоиммунные маркеры'!C14),(LN('Аутоиммунные маркеры'!C14)),NA())</f>
        <v>#N/A</v>
      </c>
      <c r="E29" s="3">
        <f t="shared" si="4"/>
        <v>0</v>
      </c>
      <c r="G29" t="e">
        <f t="shared" si="6"/>
        <v>#N/A</v>
      </c>
      <c r="H29">
        <f t="shared" si="5"/>
        <v>0</v>
      </c>
    </row>
    <row r="30" spans="1:8" ht="3.75" customHeight="1" thickBot="1">
      <c r="A30" s="3">
        <f t="shared" si="3"/>
        <v>80</v>
      </c>
      <c r="B30" t="e">
        <f>IF(ISNUMBER('Аутоиммунные маркеры'!C15),'Аутоиммунные маркеры'!C15,NA())</f>
        <v>#N/A</v>
      </c>
      <c r="C30" t="e">
        <f>IF(ISNUMBER('Аутоиммунные маркеры'!D15),LN('Аутоиммунные маркеры'!D15),NA())</f>
        <v>#N/A</v>
      </c>
      <c r="D30" s="4" t="e">
        <f>IF(ISNUMBER('Аутоиммунные маркеры'!C15),(LN('Аутоиммунные маркеры'!C15)),NA())</f>
        <v>#N/A</v>
      </c>
      <c r="E30" s="3">
        <f t="shared" si="4"/>
        <v>0</v>
      </c>
      <c r="G30" t="e">
        <f t="shared" si="6"/>
        <v>#N/A</v>
      </c>
      <c r="H30">
        <f t="shared" si="5"/>
        <v>0</v>
      </c>
    </row>
    <row r="31" spans="1:11" ht="3.75" customHeight="1" thickBot="1">
      <c r="A31" s="3">
        <f t="shared" si="3"/>
        <v>80</v>
      </c>
      <c r="B31" t="e">
        <f>IF(ISNUMBER('Аутоиммунные маркеры'!C16),'Аутоиммунные маркеры'!C16,NA())</f>
        <v>#N/A</v>
      </c>
      <c r="C31" t="e">
        <f>IF(ISNUMBER('Аутоиммунные маркеры'!D16),LN('Аутоиммунные маркеры'!D16),NA())</f>
        <v>#N/A</v>
      </c>
      <c r="D31" s="4" t="e">
        <f>IF(ISNUMBER('Аутоиммунные маркеры'!C16),(LN('Аутоиммунные маркеры'!C16)),NA())</f>
        <v>#N/A</v>
      </c>
      <c r="E31" s="3">
        <f t="shared" si="4"/>
        <v>0</v>
      </c>
      <c r="G31" t="e">
        <f t="shared" si="6"/>
        <v>#N/A</v>
      </c>
      <c r="H31">
        <f t="shared" si="5"/>
        <v>0</v>
      </c>
      <c r="K31">
        <f>Рабочий!$G$8*I7*I7*I7*I7*I7+Рабочий!$G$9*I7*I7*I7*I7+Рабочий!$G$10*I7*I7*I7+Рабочий!$G$11*I7*I7+Рабочий!$G$12*I7+Рабочий!$G$13</f>
        <v>3.722200000000001</v>
      </c>
    </row>
    <row r="32" ht="3.75" customHeight="1"/>
    <row r="33" spans="1:9" ht="3.75" customHeight="1">
      <c r="A33">
        <v>1</v>
      </c>
      <c r="B33">
        <v>2</v>
      </c>
      <c r="C33">
        <v>3</v>
      </c>
      <c r="D33">
        <v>4</v>
      </c>
      <c r="E33">
        <v>5</v>
      </c>
      <c r="F33">
        <v>6</v>
      </c>
      <c r="G33">
        <v>7</v>
      </c>
      <c r="H33">
        <v>8</v>
      </c>
      <c r="I33">
        <v>9</v>
      </c>
    </row>
    <row r="34" spans="1:5" ht="3.75" customHeight="1">
      <c r="A34">
        <f>MIN(A20:A31)</f>
        <v>80</v>
      </c>
      <c r="D34">
        <f>MAX('Аутоиммунные маркеры'!C5:C16)</f>
        <v>0</v>
      </c>
      <c r="E34">
        <f>MAX(E20:E31)</f>
        <v>0</v>
      </c>
    </row>
    <row r="35" ht="3.75" customHeight="1"/>
    <row r="36" ht="3.75" customHeight="1"/>
    <row r="37" ht="3.75" customHeight="1">
      <c r="E37" s="47" t="s">
        <v>36</v>
      </c>
    </row>
    <row r="38" ht="3.75" customHeight="1">
      <c r="E38" s="47" t="s">
        <v>33</v>
      </c>
    </row>
    <row r="39" ht="3.75" customHeight="1">
      <c r="E39" s="47" t="s">
        <v>34</v>
      </c>
    </row>
    <row r="40" ht="3.75" customHeight="1">
      <c r="E40" s="47" t="s">
        <v>35</v>
      </c>
    </row>
    <row r="41" ht="3.75" customHeight="1">
      <c r="E41" s="47" t="s">
        <v>32</v>
      </c>
    </row>
    <row r="42" ht="3.75" customHeight="1"/>
    <row r="43" ht="3.75" customHeight="1"/>
    <row r="44" ht="3.75" customHeight="1"/>
    <row r="45" ht="3.75" customHeight="1"/>
    <row r="46" ht="3.75" customHeight="1"/>
    <row r="54" ht="12.75">
      <c r="C54" s="6"/>
    </row>
    <row r="55" ht="12.75">
      <c r="C55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Polanskaya</dc:creator>
  <cp:keywords/>
  <dc:description/>
  <cp:lastModifiedBy>BoldinaNK_of</cp:lastModifiedBy>
  <dcterms:created xsi:type="dcterms:W3CDTF">2006-11-16T07:57:29Z</dcterms:created>
  <dcterms:modified xsi:type="dcterms:W3CDTF">2010-09-07T07:49:15Z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